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40" windowWidth="19080" windowHeight="11400" activeTab="1"/>
  </bookViews>
  <sheets>
    <sheet name="Instruktion" sheetId="1" r:id="rId1"/>
    <sheet name="Flyveplan" sheetId="2" r:id="rId2"/>
    <sheet name="Flyveplads_Fly" sheetId="3" r:id="rId3"/>
    <sheet name="Vindkorreksjon" sheetId="4" state="hidden" r:id="rId4"/>
    <sheet name="VFR_Atis" sheetId="5" r:id="rId5"/>
  </sheets>
  <definedNames>
    <definedName name="AD">'Flyveplads_Fly'!$G$5:$O$84</definedName>
    <definedName name="FLY">'Flyveplads_Fly'!$Q$5:$AE$14</definedName>
    <definedName name="FLYET">'Flyveplan'!$H$4</definedName>
    <definedName name="IAS">'Flyveplan'!$L$4</definedName>
    <definedName name="NAV">'Flyveplads_Fly'!$A$5:$B$109</definedName>
    <definedName name="_xlnm.Print_Area">'Flyveplan'!$A$35:$Z$71</definedName>
  </definedNames>
  <calcPr fullCalcOnLoad="1"/>
</workbook>
</file>

<file path=xl/comments1.xml><?xml version="1.0" encoding="utf-8"?>
<comments xmlns="http://schemas.openxmlformats.org/spreadsheetml/2006/main">
  <authors>
    <author>EndUser</author>
  </authors>
  <commentList>
    <comment ref="A1" authorId="0">
      <text>
        <r>
          <rPr>
            <sz val="14"/>
            <rFont val="Tahoma"/>
            <family val="2"/>
          </rPr>
          <t xml:space="preserve">Dette regnearke kan distribueres frit til alle flyventusiaster. Det er baseret på frivillig arbejde af bl.a. Livar Hole, Harald Hagen og Christian Falck, Sola Flyklubb.
Det stilles ingen garantier for at data og beregninger osv. er opdateret eller korrekt udført, og det er derfor den enkelte brugers pligt at checke indholdet af beregninger og andre informationer før flyvning.
Regnearket indeholder en operativ flyveplan med beregning af vindkorrektioner og kurser mm, samt lister over Danske flyvepladser og nav-aids.  Den enkelte bruger kan videre lægge data ind for aktuelle fly. 
På side to er også en reverseret flyveplan beregnet, noget som er nyttigt dersom man må vende om pga. vejret el.l.
Det er også en enkel VFR_Atis plan som kan brukes for enkle flyginger i lokalområdet.
BRUG:
Flyveplanen kan printes ud blank og udfyldes manuelt, eller den kan  udfyldes på skærm før printning. Det forudsættes at brugere har minimumskendskab til brug af regneark. For at beregning skal ske korrekt, må de gule felter udfyldes. Vægt og momentdata for det aktuelle fly hentes automatisk fra regnearket 'Flyveplads_Fly'. 
Under 'Frekvenser og information' i flyveplanen hentes frekvenser automatisk fra afgangs- og destinationsplads.ICAO kodene for alternative flyvepladser kan sættes ind, og data hentes automatisk fra regnearket 'Flyveplads_Fly' (som kan modiferes efter ønske). 
Bemærk at opslag i tabellene kræver STORE BOGSTAVER.. 
Misvisning og deviation er defineret positivt for Vestlig og negativt for Østlig.
Planen er tilrettelagt for tosidig utskrift som så kan foldes til A5 format for let håndtering i flyet. For bedste resultat afmærkes udskriftområdet før printning, og udskiv på liggende format med 'fit-all-to-page' muligheden valgt.
Regnearket er beskyttet, så der ikke kan skrives i celler der er beregninger. Dette kan let fjernes under 'properties' menuen (højre museknap).
Husk at kontrollere indholdet af data i gældende AIP, samt NOTAM etc.   
Revidert 220300: Endret litt på formater, samt lagt inn kurs/flightlevel i første kolonne på den siden som brukes mest.
Revidert 060402: Jørn Reidel, NRF. Mindre kosmetiske endringer.
Revideret 141105: Johannes Pedersen, Niels Krogh. (ændriger til brug i DK).
</t>
        </r>
      </text>
    </comment>
  </commentList>
</comments>
</file>

<file path=xl/sharedStrings.xml><?xml version="1.0" encoding="utf-8"?>
<sst xmlns="http://schemas.openxmlformats.org/spreadsheetml/2006/main" count="379" uniqueCount="306">
  <si>
    <t/>
  </si>
  <si>
    <t xml:space="preserve"> Dato :</t>
  </si>
  <si>
    <t>BENSIN (liter)</t>
  </si>
  <si>
    <t xml:space="preserve">  Til bestemmelsessted</t>
  </si>
  <si>
    <t xml:space="preserve">  Min. beh. (inkl. reserve)</t>
  </si>
  <si>
    <t xml:space="preserve">  Total beholdning (liter) :</t>
  </si>
  <si>
    <t xml:space="preserve">  Endurance (tt:mm)</t>
  </si>
  <si>
    <t>Safe Alt.</t>
  </si>
  <si>
    <t>METEOROLOGISKE OPPLYSNINGER</t>
  </si>
  <si>
    <t>TAF Landingssted</t>
  </si>
  <si>
    <t>METAR Landingssted</t>
  </si>
  <si>
    <t>Alternativ</t>
  </si>
  <si>
    <t>NOTATER</t>
  </si>
  <si>
    <t>Alt. :</t>
  </si>
  <si>
    <t>(deg)</t>
  </si>
  <si>
    <t>TT :</t>
  </si>
  <si>
    <t>Wind :</t>
  </si>
  <si>
    <t>Vel :</t>
  </si>
  <si>
    <t xml:space="preserve">  Kategori</t>
  </si>
  <si>
    <t>Bensin (0,71 kg/l)</t>
  </si>
  <si>
    <t>WCA</t>
  </si>
  <si>
    <t>TAS</t>
  </si>
  <si>
    <t xml:space="preserve">Type </t>
  </si>
  <si>
    <t>Arm (m)</t>
  </si>
  <si>
    <t>GS</t>
  </si>
  <si>
    <t>Max.(kg)</t>
  </si>
  <si>
    <t>TH</t>
  </si>
  <si>
    <t>Akt. (Kg)</t>
  </si>
  <si>
    <t>TP (m/in):</t>
  </si>
  <si>
    <t>CG-check:</t>
  </si>
  <si>
    <t>VAR :</t>
  </si>
  <si>
    <t>o</t>
  </si>
  <si>
    <t>DEV :</t>
  </si>
  <si>
    <t>AD :</t>
  </si>
  <si>
    <t>AD</t>
  </si>
  <si>
    <t>MK</t>
  </si>
  <si>
    <t>ATIS</t>
  </si>
  <si>
    <t>Info</t>
  </si>
  <si>
    <t>Fra/</t>
  </si>
  <si>
    <t>RW</t>
  </si>
  <si>
    <t>TWR</t>
  </si>
  <si>
    <t>TL</t>
  </si>
  <si>
    <t xml:space="preserve">Ank. melding?  </t>
  </si>
  <si>
    <t>W/V</t>
  </si>
  <si>
    <t xml:space="preserve"> /</t>
  </si>
  <si>
    <t>CTRL</t>
  </si>
  <si>
    <t>VSB</t>
  </si>
  <si>
    <t>AFIS</t>
  </si>
  <si>
    <t>CLD</t>
  </si>
  <si>
    <t>AD El.</t>
  </si>
  <si>
    <t>T/D</t>
  </si>
  <si>
    <t>/</t>
  </si>
  <si>
    <t>DST</t>
  </si>
  <si>
    <t>(nm)</t>
  </si>
  <si>
    <t>Blokktid</t>
  </si>
  <si>
    <t>TA</t>
  </si>
  <si>
    <t>QNH</t>
  </si>
  <si>
    <t>ETE</t>
  </si>
  <si>
    <t>(tt:min)</t>
  </si>
  <si>
    <t>NAVAID</t>
  </si>
  <si>
    <t>ID :</t>
  </si>
  <si>
    <t>Anm</t>
  </si>
  <si>
    <t>ETO</t>
  </si>
  <si>
    <t>Landet</t>
  </si>
  <si>
    <t>I luften</t>
  </si>
  <si>
    <t>Freq.</t>
  </si>
  <si>
    <t>SQ</t>
  </si>
  <si>
    <t>ATO</t>
  </si>
  <si>
    <t>OPPSLAGS</t>
  </si>
  <si>
    <t>NAVAIDS</t>
  </si>
  <si>
    <t>#</t>
  </si>
  <si>
    <t>ID</t>
  </si>
  <si>
    <t>OM</t>
  </si>
  <si>
    <t>SIG</t>
  </si>
  <si>
    <t>MH</t>
  </si>
  <si>
    <t>ML</t>
  </si>
  <si>
    <t>FREQ</t>
  </si>
  <si>
    <t>288.0</t>
  </si>
  <si>
    <t>NAVN</t>
  </si>
  <si>
    <t>HELNES</t>
  </si>
  <si>
    <t>TYPE</t>
  </si>
  <si>
    <t>NDB</t>
  </si>
  <si>
    <t>VOR</t>
  </si>
  <si>
    <t>STED</t>
  </si>
  <si>
    <t>Tower</t>
  </si>
  <si>
    <t>AD Elev</t>
  </si>
  <si>
    <t>FLY</t>
  </si>
  <si>
    <t>Max. Fuel (kg)</t>
  </si>
  <si>
    <t>Fuel arm (m)</t>
  </si>
  <si>
    <t>Pilotarm (m)</t>
  </si>
  <si>
    <t>N/A</t>
  </si>
  <si>
    <t>Max. Norm (kg)</t>
  </si>
  <si>
    <t>Max. Util.  (kg)</t>
  </si>
  <si>
    <t>Flytype</t>
  </si>
  <si>
    <t>PAzz</t>
  </si>
  <si>
    <t>C172-P</t>
  </si>
  <si>
    <t>Anm.</t>
  </si>
  <si>
    <t>Bagasje kun i NORMAL</t>
  </si>
  <si>
    <t>Maks bagasje 1+2=54 NFG</t>
  </si>
  <si>
    <t>VINDKORREKSJONSPROGRAM</t>
  </si>
  <si>
    <t>Kurs</t>
  </si>
  <si>
    <t>Vind</t>
  </si>
  <si>
    <t>Vel.</t>
  </si>
  <si>
    <t>Rel</t>
  </si>
  <si>
    <t>FRONT KURS</t>
  </si>
  <si>
    <t>Sidevind</t>
  </si>
  <si>
    <t>(-L +R)</t>
  </si>
  <si>
    <t>Medvind</t>
  </si>
  <si>
    <t>(+)</t>
  </si>
  <si>
    <t>(grad)</t>
  </si>
  <si>
    <t>GS korr.</t>
  </si>
  <si>
    <t>Tid</t>
  </si>
  <si>
    <t>Stign.</t>
  </si>
  <si>
    <t>1.5min/1000</t>
  </si>
  <si>
    <t>Total tid</t>
  </si>
  <si>
    <t>Back</t>
  </si>
  <si>
    <t>kurs</t>
  </si>
  <si>
    <t>BACK KURS</t>
  </si>
  <si>
    <t>Date:</t>
  </si>
  <si>
    <t>Time</t>
  </si>
  <si>
    <t>Rwy</t>
  </si>
  <si>
    <t>Visib.</t>
  </si>
  <si>
    <t>Clouds</t>
  </si>
  <si>
    <t>Transponder</t>
  </si>
  <si>
    <t>Notes</t>
  </si>
  <si>
    <t>ATIS:</t>
  </si>
  <si>
    <t>Ground:</t>
  </si>
  <si>
    <t xml:space="preserve">Tower: </t>
  </si>
  <si>
    <t>APP/TAR:</t>
  </si>
  <si>
    <t>T/O:</t>
  </si>
  <si>
    <t>ATIS-Dep.</t>
  </si>
  <si>
    <t>Land:</t>
  </si>
  <si>
    <t>ATIS-Arr.</t>
  </si>
  <si>
    <t>TST1</t>
  </si>
  <si>
    <t>TST2</t>
  </si>
  <si>
    <t>DRIFTSFLYVEPLAN</t>
  </si>
  <si>
    <t>INFORMATION</t>
  </si>
  <si>
    <t xml:space="preserve"> Fartøjschef:</t>
  </si>
  <si>
    <t xml:space="preserve"> Destination:</t>
  </si>
  <si>
    <t xml:space="preserve"> Startsted:</t>
  </si>
  <si>
    <t xml:space="preserve"> Navigatør:</t>
  </si>
  <si>
    <t xml:space="preserve">  Forbrug (liter i timen):</t>
  </si>
  <si>
    <t xml:space="preserve">  Til alternativ plads:</t>
  </si>
  <si>
    <t xml:space="preserve">OY- </t>
  </si>
  <si>
    <t>Fart(kts):</t>
  </si>
  <si>
    <t>VÆGT / MOMENT</t>
  </si>
  <si>
    <t>Mom.</t>
  </si>
  <si>
    <t>Tomvægt inkl. udstyr:</t>
  </si>
  <si>
    <t>Forsæder:</t>
  </si>
  <si>
    <t>Bagsæder:</t>
  </si>
  <si>
    <t>Bagagerum 1:</t>
  </si>
  <si>
    <t>Bagagerum 2:</t>
  </si>
  <si>
    <t>Aktuel vægt / moment</t>
  </si>
  <si>
    <t>TAF Startsted</t>
  </si>
  <si>
    <t>METAR Startsted</t>
  </si>
  <si>
    <t>Undervejs</t>
  </si>
  <si>
    <t>FREKVENSER &amp; INFORMATIONER</t>
  </si>
  <si>
    <t xml:space="preserve">TOTAL </t>
  </si>
  <si>
    <t>TIL LOGBOG</t>
  </si>
  <si>
    <t>Parkeret</t>
  </si>
  <si>
    <t>Bevægelse</t>
  </si>
  <si>
    <t>Flyvetid</t>
  </si>
  <si>
    <t>BFK</t>
  </si>
  <si>
    <t>C172M</t>
  </si>
  <si>
    <t>EKSV</t>
  </si>
  <si>
    <t>Til</t>
  </si>
  <si>
    <t>Dist.</t>
  </si>
  <si>
    <t>OPSLAGS-TABEL</t>
  </si>
  <si>
    <t>FLYVEPLADSFREKVENSER</t>
  </si>
  <si>
    <t>RADIO</t>
  </si>
  <si>
    <t>INFO.</t>
  </si>
  <si>
    <t>Info.</t>
  </si>
  <si>
    <t>Radio</t>
  </si>
  <si>
    <t>Tomvægt inkl. olie etc. (kg)</t>
  </si>
  <si>
    <t>Tomvægt arm (m)</t>
  </si>
  <si>
    <t>Basæde arm (m)</t>
  </si>
  <si>
    <t>Bagage 1 (kg)</t>
  </si>
  <si>
    <t>Bagage 1 arm  (m)</t>
  </si>
  <si>
    <t>Bagage 2 (kg)</t>
  </si>
  <si>
    <t>Bagage 2 arm  (m)</t>
  </si>
  <si>
    <t>APP.</t>
  </si>
  <si>
    <t>AALBORG</t>
  </si>
  <si>
    <t>EKYT</t>
  </si>
  <si>
    <t>AAL</t>
  </si>
  <si>
    <t>GL</t>
  </si>
  <si>
    <t>GOLF/LIMA</t>
  </si>
  <si>
    <t>AARHUS</t>
  </si>
  <si>
    <t>EKAH</t>
  </si>
  <si>
    <t>MIKE/LIMA</t>
  </si>
  <si>
    <t>UT</t>
  </si>
  <si>
    <t>TANGO/UNIFORM</t>
  </si>
  <si>
    <t>AARS</t>
  </si>
  <si>
    <t>EKVH</t>
  </si>
  <si>
    <t>ALLERØD</t>
  </si>
  <si>
    <t>EKAL</t>
  </si>
  <si>
    <t>ANHOLT</t>
  </si>
  <si>
    <t>EKAT</t>
  </si>
  <si>
    <t>ÆRØ</t>
  </si>
  <si>
    <t>EKAE</t>
  </si>
  <si>
    <t>BILLUND</t>
  </si>
  <si>
    <t>EKBI</t>
  </si>
  <si>
    <t>GE</t>
  </si>
  <si>
    <t>GOLF/EKKO</t>
  </si>
  <si>
    <t>LO</t>
  </si>
  <si>
    <t>LIMA/OSKAR</t>
  </si>
  <si>
    <t>BORNHOLM</t>
  </si>
  <si>
    <t>EKRN</t>
  </si>
  <si>
    <t>ROE</t>
  </si>
  <si>
    <t>RØNNE</t>
  </si>
  <si>
    <t>EKEL</t>
  </si>
  <si>
    <t>ENDELAVE VEST</t>
  </si>
  <si>
    <t>ESBJERG</t>
  </si>
  <si>
    <t>EKEB</t>
  </si>
  <si>
    <t>HP</t>
  </si>
  <si>
    <t>HOTEL/PAPA</t>
  </si>
  <si>
    <t>EJ</t>
  </si>
  <si>
    <t>EKKO/JULIET</t>
  </si>
  <si>
    <t>FUR</t>
  </si>
  <si>
    <t>EKFU</t>
  </si>
  <si>
    <t>GRENÅ</t>
  </si>
  <si>
    <t>EKGR</t>
  </si>
  <si>
    <t>Baseret på flyveplaner fra NAK og Sola Flyklubb. Modificeret af Johannes Pedersen, Niels Krogh. Uden ansvar for mulige fejl!</t>
  </si>
  <si>
    <t>GRØNHOLT</t>
  </si>
  <si>
    <t>EKGH</t>
  </si>
  <si>
    <t>EKHV</t>
  </si>
  <si>
    <t>HADERSLEV</t>
  </si>
  <si>
    <t>HADSUND</t>
  </si>
  <si>
    <t>EKHS</t>
  </si>
  <si>
    <t>HERNING</t>
  </si>
  <si>
    <t>EKHG</t>
  </si>
  <si>
    <t>HOLBÆK</t>
  </si>
  <si>
    <t>EKHK</t>
  </si>
  <si>
    <t>KALUNDBORG</t>
  </si>
  <si>
    <t>EKKL</t>
  </si>
  <si>
    <t>KARUP</t>
  </si>
  <si>
    <t>EKKA</t>
  </si>
  <si>
    <t>KØBENHAVN</t>
  </si>
  <si>
    <t>EKCH</t>
  </si>
  <si>
    <t>ROSKILDE</t>
  </si>
  <si>
    <t>EKRK</t>
  </si>
  <si>
    <t>VAMDRUP</t>
  </si>
  <si>
    <t>EKVD</t>
  </si>
  <si>
    <t>KORSØR</t>
  </si>
  <si>
    <t>EKKO</t>
  </si>
  <si>
    <t>KOSTER VIG MØN</t>
  </si>
  <si>
    <t>EKMN</t>
  </si>
  <si>
    <t>EKPB</t>
  </si>
  <si>
    <t>KRUSÅ-PADBORG</t>
  </si>
  <si>
    <t>LÆSØ</t>
  </si>
  <si>
    <t>EKLS</t>
  </si>
  <si>
    <t>LEMVIG</t>
  </si>
  <si>
    <t>EKLV</t>
  </si>
  <si>
    <t>MORSØ</t>
  </si>
  <si>
    <t>EKNM</t>
  </si>
  <si>
    <t>MARIBO</t>
  </si>
  <si>
    <t>EKMB</t>
  </si>
  <si>
    <t>ODENSE</t>
  </si>
  <si>
    <t>EKOD</t>
  </si>
  <si>
    <t>RINGSTED</t>
  </si>
  <si>
    <t>EKRS</t>
  </si>
  <si>
    <t>SAMSØ</t>
  </si>
  <si>
    <t>EKSS</t>
  </si>
  <si>
    <t>Antal</t>
  </si>
  <si>
    <t>SINDAL</t>
  </si>
  <si>
    <t>EKSN</t>
  </si>
  <si>
    <t>SKIVE</t>
  </si>
  <si>
    <t>STAUNING</t>
  </si>
  <si>
    <t>EKVJ</t>
  </si>
  <si>
    <t>SPJALD</t>
  </si>
  <si>
    <t>EKSD</t>
  </si>
  <si>
    <t>SÆBY</t>
  </si>
  <si>
    <t>EKSA</t>
  </si>
  <si>
    <t>SØNDERBORG</t>
  </si>
  <si>
    <t>EKSB</t>
  </si>
  <si>
    <t>THISTED</t>
  </si>
  <si>
    <t>EKTS</t>
  </si>
  <si>
    <t>TØNDER</t>
  </si>
  <si>
    <t>EKTD</t>
  </si>
  <si>
    <t>VIBORG</t>
  </si>
  <si>
    <t>EKVB</t>
  </si>
  <si>
    <t>120.42</t>
  </si>
  <si>
    <t>VOJENS</t>
  </si>
  <si>
    <t>EKSP</t>
  </si>
  <si>
    <t>ALS</t>
  </si>
  <si>
    <t>ALSIE</t>
  </si>
  <si>
    <t>CDA</t>
  </si>
  <si>
    <t>CODAN</t>
  </si>
  <si>
    <t>GES</t>
  </si>
  <si>
    <t>GEDSER</t>
  </si>
  <si>
    <t>KAS</t>
  </si>
  <si>
    <t>KASTRUP</t>
  </si>
  <si>
    <t>KOR</t>
  </si>
  <si>
    <t>KORSA</t>
  </si>
  <si>
    <t>NOA</t>
  </si>
  <si>
    <t>NORA</t>
  </si>
  <si>
    <t>ODN</t>
  </si>
  <si>
    <t>ODIN</t>
  </si>
  <si>
    <t>RAM</t>
  </si>
  <si>
    <t>RAMME</t>
  </si>
  <si>
    <t>SKR</t>
  </si>
  <si>
    <t>SKRYDSTRUP</t>
  </si>
  <si>
    <t>TNO</t>
  </si>
  <si>
    <t>TRANO</t>
  </si>
  <si>
    <t>VES</t>
  </si>
  <si>
    <t>VESTA</t>
  </si>
  <si>
    <t xml:space="preserve"> VFR OY-</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</si>
</sst>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
    <numFmt numFmtId="173" formatCode="0.000"/>
    <numFmt numFmtId="174" formatCode="h:mm"/>
    <numFmt numFmtId="175" formatCode="000"/>
  </numFmts>
  <fonts count="33">
    <font>
      <sz val="12"/>
      <name val="Arial"/>
      <family val="0"/>
    </font>
    <font>
      <b/>
      <sz val="10"/>
      <name val="Arial"/>
      <family val="0"/>
    </font>
    <font>
      <i/>
      <sz val="10"/>
      <name val="Arial"/>
      <family val="0"/>
    </font>
    <font>
      <b/>
      <i/>
      <sz val="10"/>
      <name val="Arial"/>
      <family val="0"/>
    </font>
    <font>
      <sz val="18"/>
      <name val="Arial"/>
      <family val="0"/>
    </font>
    <font>
      <sz val="14"/>
      <name val="Arial"/>
      <family val="0"/>
    </font>
    <font>
      <sz val="12"/>
      <color indexed="8"/>
      <name val="Arial"/>
      <family val="0"/>
    </font>
    <font>
      <b/>
      <sz val="24"/>
      <color indexed="8"/>
      <name val="Arial"/>
      <family val="0"/>
    </font>
    <font>
      <b/>
      <sz val="18"/>
      <color indexed="8"/>
      <name val="Arial"/>
      <family val="0"/>
    </font>
    <font>
      <sz val="18"/>
      <color indexed="8"/>
      <name val="Arial"/>
      <family val="0"/>
    </font>
    <font>
      <b/>
      <i/>
      <sz val="24"/>
      <color indexed="8"/>
      <name val="Arial"/>
      <family val="0"/>
    </font>
    <font>
      <sz val="10"/>
      <color indexed="8"/>
      <name val="Arial"/>
      <family val="0"/>
    </font>
    <font>
      <sz val="10"/>
      <name val="Arial"/>
      <family val="0"/>
    </font>
    <font>
      <b/>
      <sz val="14"/>
      <color indexed="8"/>
      <name val="Arial"/>
      <family val="0"/>
    </font>
    <font>
      <b/>
      <sz val="12"/>
      <color indexed="8"/>
      <name val="Arial"/>
      <family val="0"/>
    </font>
    <font>
      <u val="single"/>
      <sz val="14"/>
      <color indexed="8"/>
      <name val="Arial"/>
      <family val="0"/>
    </font>
    <font>
      <sz val="14"/>
      <color indexed="8"/>
      <name val="Arial"/>
      <family val="0"/>
    </font>
    <font>
      <sz val="16"/>
      <color indexed="8"/>
      <name val="Arial"/>
      <family val="0"/>
    </font>
    <font>
      <sz val="14"/>
      <color indexed="8"/>
      <name val="Wingdings"/>
      <family val="0"/>
    </font>
    <font>
      <b/>
      <sz val="10"/>
      <color indexed="8"/>
      <name val="Arial"/>
      <family val="0"/>
    </font>
    <font>
      <b/>
      <i/>
      <sz val="12"/>
      <color indexed="8"/>
      <name val="Arial"/>
      <family val="0"/>
    </font>
    <font>
      <u val="single"/>
      <sz val="10"/>
      <color indexed="8"/>
      <name val="Arial"/>
      <family val="0"/>
    </font>
    <font>
      <sz val="8"/>
      <color indexed="8"/>
      <name val="Arial"/>
      <family val="0"/>
    </font>
    <font>
      <i/>
      <sz val="8"/>
      <color indexed="8"/>
      <name val="Arial"/>
      <family val="0"/>
    </font>
    <font>
      <sz val="10"/>
      <color indexed="8"/>
      <name val="Arial Narrow"/>
      <family val="0"/>
    </font>
    <font>
      <sz val="12"/>
      <name val="Arial Narrow"/>
      <family val="0"/>
    </font>
    <font>
      <b/>
      <i/>
      <sz val="10"/>
      <color indexed="8"/>
      <name val="Arial"/>
      <family val="0"/>
    </font>
    <font>
      <i/>
      <sz val="14"/>
      <color indexed="8"/>
      <name val="Arial"/>
      <family val="0"/>
    </font>
    <font>
      <b/>
      <sz val="14"/>
      <name val="Arial"/>
      <family val="0"/>
    </font>
    <font>
      <b/>
      <sz val="12"/>
      <name val="Arial"/>
      <family val="0"/>
    </font>
    <font>
      <sz val="14"/>
      <name val="Tahoma"/>
      <family val="2"/>
    </font>
    <font>
      <u val="single"/>
      <sz val="7.2"/>
      <color indexed="12"/>
      <name val="Arial"/>
      <family val="0"/>
    </font>
    <font>
      <b/>
      <sz val="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lightUp">
        <fgColor indexed="22"/>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s>
  <borders count="42">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dotted">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dotted">
        <color indexed="8"/>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dotted">
        <color indexed="8"/>
      </left>
      <right>
        <color indexed="63"/>
      </right>
      <top>
        <color indexed="63"/>
      </top>
      <bottom>
        <color indexed="63"/>
      </bottom>
    </border>
    <border>
      <left style="double">
        <color indexed="8"/>
      </left>
      <right>
        <color indexed="63"/>
      </right>
      <top style="thin">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style="double">
        <color indexed="8"/>
      </top>
      <bottom>
        <color indexed="63"/>
      </bottom>
    </border>
    <border>
      <left style="thin">
        <color indexed="8"/>
      </left>
      <right>
        <color indexed="63"/>
      </right>
      <top style="dotted">
        <color indexed="8"/>
      </top>
      <bottom>
        <color indexed="63"/>
      </bottom>
    </border>
    <border>
      <left style="thin">
        <color indexed="8"/>
      </left>
      <right>
        <color indexed="63"/>
      </right>
      <top>
        <color indexed="63"/>
      </top>
      <bottom style="dotted">
        <color indexed="8"/>
      </bottom>
    </border>
    <border>
      <left style="thin">
        <color indexed="8"/>
      </left>
      <right style="thin">
        <color indexed="8"/>
      </right>
      <top>
        <color indexed="63"/>
      </top>
      <bottom style="dotted">
        <color indexed="8"/>
      </bottom>
    </border>
    <border>
      <left style="thin">
        <color indexed="8"/>
      </left>
      <right>
        <color indexed="63"/>
      </right>
      <top style="thin">
        <color indexed="8"/>
      </top>
      <bottom style="dotted">
        <color indexed="8"/>
      </bottom>
    </border>
    <border>
      <left style="thin">
        <color indexed="8"/>
      </left>
      <right style="thin">
        <color indexed="8"/>
      </right>
      <top style="thin">
        <color indexed="8"/>
      </top>
      <bottom style="dotted">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double">
        <color indexed="8"/>
      </right>
      <top>
        <color indexed="63"/>
      </top>
      <bottom style="double">
        <color indexed="8"/>
      </bottom>
    </border>
    <border>
      <left style="thin">
        <color indexed="8"/>
      </left>
      <right>
        <color indexed="63"/>
      </right>
      <top style="medium">
        <color indexed="8"/>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style="dotted">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tted">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color indexed="63"/>
      </right>
      <top style="thin"/>
      <bottom>
        <color indexed="63"/>
      </bottom>
    </border>
    <border>
      <left style="thin"/>
      <right>
        <color indexed="63"/>
      </right>
      <top>
        <color indexed="63"/>
      </top>
      <bottom style="double"/>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s>
  <cellStyleXfs count="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pplyNumberFormat="0" applyFill="0" applyBorder="0" applyAlignment="0" applyProtection="0"/>
  </cellStyleXfs>
  <cellXfs count="385">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0" fontId="6" fillId="0" borderId="0" xfId="0" applyNumberFormat="1" applyFont="1" applyAlignment="1">
      <alignment/>
    </xf>
    <xf numFmtId="0" fontId="0" fillId="0" borderId="0" xfId="0" applyNumberFormat="1" applyAlignment="1">
      <alignment/>
    </xf>
    <xf numFmtId="0" fontId="6" fillId="0" borderId="1" xfId="0" applyNumberFormat="1" applyFont="1" applyAlignment="1">
      <alignment/>
    </xf>
    <xf numFmtId="0" fontId="7" fillId="0" borderId="2" xfId="0" applyNumberFormat="1" applyFont="1" applyAlignment="1">
      <alignment horizontal="centerContinuous" vertical="center"/>
    </xf>
    <xf numFmtId="0" fontId="8" fillId="0" borderId="2" xfId="0" applyNumberFormat="1" applyFont="1" applyAlignment="1">
      <alignment horizontal="centerContinuous"/>
    </xf>
    <xf numFmtId="0" fontId="9" fillId="0" borderId="2" xfId="0" applyNumberFormat="1" applyFont="1" applyAlignment="1">
      <alignment horizontal="centerContinuous"/>
    </xf>
    <xf numFmtId="0" fontId="6" fillId="0" borderId="2" xfId="0" applyNumberFormat="1" applyFont="1" applyAlignment="1">
      <alignment/>
    </xf>
    <xf numFmtId="0" fontId="6" fillId="0" borderId="3" xfId="0" applyNumberFormat="1" applyFont="1" applyAlignment="1">
      <alignment/>
    </xf>
    <xf numFmtId="0" fontId="10" fillId="0" borderId="2" xfId="0" applyNumberFormat="1" applyFont="1" applyAlignment="1">
      <alignment horizontal="left" vertical="center"/>
    </xf>
    <xf numFmtId="0" fontId="6" fillId="0" borderId="2" xfId="0" applyNumberFormat="1" applyFont="1" applyAlignment="1">
      <alignment horizontal="centerContinuous" vertical="center"/>
    </xf>
    <xf numFmtId="0" fontId="0" fillId="0" borderId="2" xfId="0" applyNumberFormat="1" applyFont="1" applyAlignment="1">
      <alignment horizontal="centerContinuous" vertical="center"/>
    </xf>
    <xf numFmtId="0" fontId="0" fillId="0" borderId="2" xfId="0" applyNumberFormat="1" applyFont="1" applyAlignment="1">
      <alignment horizontal="centerContinuous"/>
    </xf>
    <xf numFmtId="0" fontId="10" fillId="0" borderId="2" xfId="0" applyNumberFormat="1" applyFont="1" applyAlignment="1">
      <alignment horizontal="right" vertical="center"/>
    </xf>
    <xf numFmtId="0" fontId="9" fillId="0" borderId="2" xfId="0" applyNumberFormat="1" applyFont="1" applyAlignment="1">
      <alignment/>
    </xf>
    <xf numFmtId="0" fontId="9" fillId="0" borderId="4" xfId="0" applyNumberFormat="1" applyFont="1" applyAlignment="1">
      <alignment/>
    </xf>
    <xf numFmtId="0" fontId="4" fillId="0" borderId="0" xfId="0" applyNumberFormat="1" applyFont="1" applyAlignment="1">
      <alignment/>
    </xf>
    <xf numFmtId="0" fontId="6" fillId="0" borderId="5" xfId="0" applyNumberFormat="1" applyFont="1" applyAlignment="1">
      <alignment/>
    </xf>
    <xf numFmtId="0" fontId="6" fillId="0" borderId="6" xfId="0" applyNumberFormat="1" applyFont="1" applyAlignment="1">
      <alignment/>
    </xf>
    <xf numFmtId="0" fontId="11" fillId="0" borderId="6" xfId="0" applyNumberFormat="1" applyFont="1" applyAlignment="1">
      <alignment/>
    </xf>
    <xf numFmtId="0" fontId="11" fillId="0" borderId="6" xfId="0" applyNumberFormat="1" applyFont="1" applyFill="1" applyAlignment="1">
      <alignment/>
    </xf>
    <xf numFmtId="0" fontId="11" fillId="0" borderId="7" xfId="0" applyNumberFormat="1" applyFont="1" applyFill="1" applyAlignment="1">
      <alignment/>
    </xf>
    <xf numFmtId="0" fontId="11" fillId="0" borderId="4" xfId="0" applyNumberFormat="1" applyFont="1" applyAlignment="1">
      <alignment/>
    </xf>
    <xf numFmtId="0" fontId="12" fillId="0" borderId="0" xfId="0" applyNumberFormat="1" applyFont="1" applyAlignment="1">
      <alignment/>
    </xf>
    <xf numFmtId="0" fontId="6" fillId="0" borderId="4" xfId="0" applyNumberFormat="1" applyFont="1" applyAlignment="1">
      <alignment/>
    </xf>
    <xf numFmtId="0" fontId="13" fillId="2" borderId="8" xfId="0" applyNumberFormat="1" applyFont="1" applyFill="1" applyAlignment="1">
      <alignment horizontal="centerContinuous"/>
    </xf>
    <xf numFmtId="0" fontId="11" fillId="2" borderId="6" xfId="0" applyNumberFormat="1" applyFont="1" applyFill="1" applyAlignment="1">
      <alignment horizontal="centerContinuous"/>
    </xf>
    <xf numFmtId="0" fontId="6" fillId="0" borderId="9" xfId="0" applyNumberFormat="1" applyFont="1" applyAlignment="1">
      <alignment/>
    </xf>
    <xf numFmtId="0" fontId="6" fillId="0" borderId="8" xfId="0" applyNumberFormat="1" applyFont="1" applyAlignment="1">
      <alignment horizontal="right" vertical="center"/>
    </xf>
    <xf numFmtId="0" fontId="6" fillId="2" borderId="8" xfId="0" applyNumberFormat="1" applyFont="1" applyFill="1" applyAlignment="1">
      <alignment horizontal="center" vertical="center"/>
    </xf>
    <xf numFmtId="0" fontId="11" fillId="0" borderId="9" xfId="0" applyNumberFormat="1" applyFont="1" applyFill="1" applyAlignment="1">
      <alignment/>
    </xf>
    <xf numFmtId="0" fontId="11" fillId="0" borderId="10" xfId="0" applyNumberFormat="1" applyFont="1" applyFill="1" applyAlignment="1">
      <alignment horizontal="centerContinuous"/>
    </xf>
    <xf numFmtId="0" fontId="13" fillId="3" borderId="8" xfId="0" applyNumberFormat="1" applyFont="1" applyFill="1" applyAlignment="1">
      <alignment horizontal="centerContinuous" vertical="center"/>
    </xf>
    <xf numFmtId="0" fontId="15" fillId="3" borderId="6" xfId="0" applyNumberFormat="1" applyFont="1" applyFill="1" applyAlignment="1">
      <alignment horizontal="centerContinuous" vertical="center"/>
    </xf>
    <xf numFmtId="0" fontId="16" fillId="3" borderId="6" xfId="0" applyNumberFormat="1" applyFont="1" applyFill="1" applyAlignment="1">
      <alignment horizontal="centerContinuous" vertical="center"/>
    </xf>
    <xf numFmtId="0" fontId="6" fillId="2" borderId="6" xfId="0" applyNumberFormat="1" applyFont="1" applyFill="1" applyAlignment="1">
      <alignment horizontal="centerContinuous"/>
    </xf>
    <xf numFmtId="0" fontId="13" fillId="3" borderId="11" xfId="0" applyNumberFormat="1" applyFont="1" applyFill="1" applyAlignment="1">
      <alignment horizontal="centerContinuous" vertical="center"/>
    </xf>
    <xf numFmtId="0" fontId="13" fillId="3" borderId="6" xfId="0" applyNumberFormat="1" applyFont="1" applyFill="1" applyAlignment="1">
      <alignment horizontal="centerContinuous" vertical="center"/>
    </xf>
    <xf numFmtId="0" fontId="11" fillId="0" borderId="9" xfId="0" applyNumberFormat="1" applyFont="1" applyAlignment="1">
      <alignment/>
    </xf>
    <xf numFmtId="2" fontId="5" fillId="0" borderId="0" xfId="0" applyNumberFormat="1" applyFont="1" applyAlignment="1">
      <alignment horizontal="centerContinuous"/>
    </xf>
    <xf numFmtId="0" fontId="5" fillId="0" borderId="0" xfId="0" applyNumberFormat="1" applyFont="1" applyAlignment="1">
      <alignment horizontal="center"/>
    </xf>
    <xf numFmtId="2" fontId="5" fillId="0" borderId="0" xfId="0" applyNumberFormat="1" applyFont="1" applyAlignment="1">
      <alignment horizontal="center"/>
    </xf>
    <xf numFmtId="0" fontId="6" fillId="0" borderId="12" xfId="0" applyNumberFormat="1" applyFont="1" applyAlignment="1">
      <alignment/>
    </xf>
    <xf numFmtId="0" fontId="6" fillId="0" borderId="13" xfId="0" applyNumberFormat="1" applyFont="1" applyAlignment="1">
      <alignment/>
    </xf>
    <xf numFmtId="0" fontId="0" fillId="0" borderId="6" xfId="0" applyNumberFormat="1" applyAlignment="1">
      <alignment/>
    </xf>
    <xf numFmtId="0" fontId="11" fillId="0" borderId="0" xfId="0" applyNumberFormat="1" applyFont="1" applyFill="1" applyAlignment="1">
      <alignment/>
    </xf>
    <xf numFmtId="0" fontId="11" fillId="0" borderId="10" xfId="0" applyNumberFormat="1" applyFont="1" applyFill="1" applyAlignment="1">
      <alignment/>
    </xf>
    <xf numFmtId="0" fontId="14" fillId="2" borderId="9" xfId="0" applyNumberFormat="1" applyFont="1" applyFill="1" applyAlignment="1">
      <alignment horizontal="center" vertical="center"/>
    </xf>
    <xf numFmtId="0" fontId="14" fillId="2" borderId="14" xfId="0" applyNumberFormat="1" applyFont="1" applyFill="1" applyAlignment="1">
      <alignment horizontal="center" vertical="center"/>
    </xf>
    <xf numFmtId="172" fontId="5" fillId="0" borderId="0" xfId="0" applyNumberFormat="1" applyFont="1" applyAlignment="1">
      <alignment horizontal="center"/>
    </xf>
    <xf numFmtId="0" fontId="6" fillId="0" borderId="8" xfId="0" applyNumberFormat="1" applyFont="1" applyAlignment="1">
      <alignment vertical="center"/>
    </xf>
    <xf numFmtId="0" fontId="6" fillId="0" borderId="6" xfId="0" applyNumberFormat="1" applyFont="1" applyAlignment="1">
      <alignment vertical="center"/>
    </xf>
    <xf numFmtId="0" fontId="6" fillId="0" borderId="6" xfId="0" applyNumberFormat="1" applyFont="1" applyFill="1" applyAlignment="1">
      <alignment horizontal="centerContinuous" vertical="center"/>
    </xf>
    <xf numFmtId="2" fontId="16" fillId="2" borderId="12" xfId="0" applyNumberFormat="1" applyFont="1" applyFill="1" applyAlignment="1">
      <alignment horizontal="center"/>
    </xf>
    <xf numFmtId="0" fontId="16" fillId="0" borderId="15" xfId="0" applyNumberFormat="1" applyFont="1" applyFill="1" applyAlignment="1">
      <alignment horizontal="center"/>
    </xf>
    <xf numFmtId="0" fontId="6" fillId="2" borderId="9" xfId="0" applyNumberFormat="1" applyFont="1" applyFill="1" applyAlignment="1">
      <alignment vertical="center"/>
    </xf>
    <xf numFmtId="0" fontId="6" fillId="2" borderId="0" xfId="0" applyNumberFormat="1" applyFont="1" applyFill="1" applyAlignment="1">
      <alignment vertical="center"/>
    </xf>
    <xf numFmtId="0" fontId="6" fillId="2" borderId="9" xfId="0" applyNumberFormat="1" applyFont="1" applyFill="1" applyAlignment="1">
      <alignment horizontal="center" vertical="center"/>
    </xf>
    <xf numFmtId="2" fontId="16" fillId="2" borderId="8" xfId="0" applyNumberFormat="1" applyFont="1" applyFill="1" applyAlignment="1">
      <alignment horizontal="center"/>
    </xf>
    <xf numFmtId="0" fontId="16" fillId="2" borderId="8" xfId="0" applyNumberFormat="1" applyFont="1" applyFill="1" applyAlignment="1">
      <alignment horizontal="center"/>
    </xf>
    <xf numFmtId="0" fontId="16" fillId="0" borderId="11" xfId="0" applyNumberFormat="1" applyFont="1" applyFill="1" applyAlignment="1">
      <alignment horizontal="center"/>
    </xf>
    <xf numFmtId="1" fontId="5" fillId="0" borderId="0" xfId="0" applyNumberFormat="1" applyFont="1" applyAlignment="1">
      <alignment horizontal="center"/>
    </xf>
    <xf numFmtId="0" fontId="6" fillId="0" borderId="8" xfId="0" applyNumberFormat="1" applyFont="1" applyAlignment="1">
      <alignment horizontal="left" vertical="center"/>
    </xf>
    <xf numFmtId="0" fontId="6" fillId="0" borderId="8" xfId="0" applyNumberFormat="1" applyFont="1" applyFill="1" applyAlignment="1">
      <alignment horizontal="centerContinuous" vertical="center"/>
    </xf>
    <xf numFmtId="0" fontId="11" fillId="0" borderId="12" xfId="0" applyNumberFormat="1" applyFont="1" applyAlignment="1">
      <alignment/>
    </xf>
    <xf numFmtId="0" fontId="11" fillId="0" borderId="13" xfId="0" applyNumberFormat="1" applyFont="1" applyAlignment="1">
      <alignment/>
    </xf>
    <xf numFmtId="0" fontId="17" fillId="0" borderId="8" xfId="0" applyNumberFormat="1" applyFont="1" applyFill="1" applyAlignment="1">
      <alignment horizontal="left"/>
    </xf>
    <xf numFmtId="0" fontId="6" fillId="0" borderId="9" xfId="0" applyNumberFormat="1" applyFont="1" applyAlignment="1">
      <alignment/>
    </xf>
    <xf numFmtId="0" fontId="11" fillId="0" borderId="8" xfId="0" applyNumberFormat="1" applyFont="1" applyAlignment="1">
      <alignment/>
    </xf>
    <xf numFmtId="0" fontId="6" fillId="2" borderId="8" xfId="0" applyNumberFormat="1" applyFont="1" applyFill="1" applyAlignment="1">
      <alignment horizontal="center"/>
    </xf>
    <xf numFmtId="0" fontId="6" fillId="4" borderId="9" xfId="0" applyNumberFormat="1" applyFont="1" applyFill="1" applyAlignment="1">
      <alignment/>
    </xf>
    <xf numFmtId="1" fontId="6" fillId="0" borderId="8" xfId="0" applyNumberFormat="1" applyFont="1" applyAlignment="1">
      <alignment horizontal="center"/>
    </xf>
    <xf numFmtId="0" fontId="6" fillId="0" borderId="12" xfId="0" applyNumberFormat="1" applyFont="1" applyAlignment="1">
      <alignment horizontal="centerContinuous" vertical="center"/>
    </xf>
    <xf numFmtId="0" fontId="6" fillId="0" borderId="13" xfId="0" applyNumberFormat="1" applyFont="1" applyAlignment="1">
      <alignment horizontal="centerContinuous" vertical="center"/>
    </xf>
    <xf numFmtId="0" fontId="6" fillId="0" borderId="8" xfId="0" applyNumberFormat="1" applyFont="1" applyAlignment="1">
      <alignment horizontal="centerContinuous" vertical="center"/>
    </xf>
    <xf numFmtId="0" fontId="6" fillId="0" borderId="6" xfId="0" applyNumberFormat="1" applyFont="1" applyAlignment="1">
      <alignment horizontal="centerContinuous" vertical="center"/>
    </xf>
    <xf numFmtId="1" fontId="6" fillId="0" borderId="8" xfId="0" applyNumberFormat="1" applyFont="1" applyFill="1" applyAlignment="1">
      <alignment horizontal="center"/>
    </xf>
    <xf numFmtId="20" fontId="6" fillId="0" borderId="9" xfId="0" applyNumberFormat="1" applyFont="1" applyAlignment="1">
      <alignment/>
    </xf>
    <xf numFmtId="0" fontId="0" fillId="0" borderId="0" xfId="0" applyNumberFormat="1" applyAlignment="1">
      <alignment/>
    </xf>
    <xf numFmtId="0" fontId="6" fillId="0" borderId="9" xfId="0" applyNumberFormat="1" applyFont="1" applyAlignment="1">
      <alignment vertical="center"/>
    </xf>
    <xf numFmtId="0" fontId="14" fillId="2" borderId="12" xfId="0" applyNumberFormat="1" applyFont="1" applyFill="1" applyAlignment="1">
      <alignment horizontal="center" vertical="center"/>
    </xf>
    <xf numFmtId="0" fontId="14" fillId="2" borderId="12" xfId="0" applyNumberFormat="1" applyFont="1" applyFill="1" applyAlignment="1">
      <alignment horizontal="centerContinuous" vertical="center"/>
    </xf>
    <xf numFmtId="0" fontId="6" fillId="0" borderId="6" xfId="0" applyNumberFormat="1" applyFont="1" applyAlignment="1">
      <alignment/>
    </xf>
    <xf numFmtId="1" fontId="14" fillId="0" borderId="8" xfId="0" applyNumberFormat="1" applyFont="1" applyAlignment="1">
      <alignment horizontal="center"/>
    </xf>
    <xf numFmtId="0" fontId="6" fillId="0" borderId="12" xfId="0" applyNumberFormat="1" applyFont="1" applyAlignment="1">
      <alignment/>
    </xf>
    <xf numFmtId="0" fontId="6" fillId="0" borderId="12" xfId="0" applyNumberFormat="1" applyFont="1" applyAlignment="1">
      <alignment horizontal="center"/>
    </xf>
    <xf numFmtId="0" fontId="12" fillId="0" borderId="6" xfId="0" applyNumberFormat="1" applyFont="1" applyAlignment="1">
      <alignment horizontal="left"/>
    </xf>
    <xf numFmtId="0" fontId="12" fillId="0" borderId="13" xfId="0" applyNumberFormat="1" applyFont="1" applyAlignment="1">
      <alignment horizontal="right"/>
    </xf>
    <xf numFmtId="173" fontId="12" fillId="0" borderId="13" xfId="0" applyNumberFormat="1" applyFont="1" applyAlignment="1">
      <alignment horizontal="center"/>
    </xf>
    <xf numFmtId="0" fontId="6" fillId="0" borderId="8" xfId="0" applyNumberFormat="1" applyFont="1" applyAlignment="1">
      <alignment/>
    </xf>
    <xf numFmtId="0" fontId="6" fillId="0" borderId="8" xfId="0" applyNumberFormat="1" applyFont="1" applyAlignment="1">
      <alignment horizontal="center"/>
    </xf>
    <xf numFmtId="0" fontId="6" fillId="0" borderId="6" xfId="0" applyNumberFormat="1" applyFont="1" applyAlignment="1">
      <alignment horizontal="centerContinuous" vertical="center"/>
    </xf>
    <xf numFmtId="20" fontId="6" fillId="0" borderId="8" xfId="0" applyNumberFormat="1" applyFont="1" applyFill="1" applyAlignment="1">
      <alignment horizontal="center"/>
    </xf>
    <xf numFmtId="0" fontId="12" fillId="0" borderId="0" xfId="0" applyNumberFormat="1" applyFont="1" applyAlignment="1">
      <alignment vertical="center"/>
    </xf>
    <xf numFmtId="0" fontId="18" fillId="0" borderId="0" xfId="0" applyNumberFormat="1" applyFont="1" applyAlignment="1">
      <alignment vertical="center"/>
    </xf>
    <xf numFmtId="0" fontId="6" fillId="0" borderId="8" xfId="0" applyNumberFormat="1" applyFont="1" applyAlignment="1">
      <alignment horizontal="right" vertical="center"/>
    </xf>
    <xf numFmtId="0" fontId="6" fillId="0" borderId="8" xfId="0" applyNumberFormat="1" applyFont="1" applyAlignment="1">
      <alignment vertical="center"/>
    </xf>
    <xf numFmtId="0" fontId="11" fillId="0" borderId="0" xfId="0" applyNumberFormat="1" applyFont="1" applyAlignment="1">
      <alignment/>
    </xf>
    <xf numFmtId="0" fontId="19" fillId="0" borderId="6" xfId="0" applyNumberFormat="1" applyFont="1" applyAlignment="1">
      <alignment horizontal="right" vertical="center"/>
    </xf>
    <xf numFmtId="0" fontId="20" fillId="0" borderId="6" xfId="0" applyNumberFormat="1" applyFont="1" applyAlignment="1">
      <alignment horizontal="left" vertical="center"/>
    </xf>
    <xf numFmtId="0" fontId="11" fillId="0" borderId="6" xfId="0" applyNumberFormat="1" applyFont="1" applyAlignment="1">
      <alignment vertical="center"/>
    </xf>
    <xf numFmtId="0" fontId="20" fillId="0" borderId="6" xfId="0" applyNumberFormat="1" applyFont="1" applyAlignment="1">
      <alignment vertical="center"/>
    </xf>
    <xf numFmtId="0" fontId="11" fillId="0" borderId="6" xfId="0" applyNumberFormat="1" applyFont="1" applyAlignment="1">
      <alignment vertical="center"/>
    </xf>
    <xf numFmtId="0" fontId="21" fillId="0" borderId="6" xfId="0" applyNumberFormat="1" applyFont="1" applyAlignment="1">
      <alignment horizontal="center"/>
    </xf>
    <xf numFmtId="0" fontId="11" fillId="0" borderId="9" xfId="0" applyNumberFormat="1" applyFont="1" applyFill="1" applyAlignment="1">
      <alignment horizontal="center" vertical="center"/>
    </xf>
    <xf numFmtId="0" fontId="11" fillId="0" borderId="10" xfId="0" applyNumberFormat="1" applyFont="1" applyFill="1" applyAlignment="1">
      <alignment horizontal="center" vertical="center"/>
    </xf>
    <xf numFmtId="0" fontId="6" fillId="2" borderId="8" xfId="0" applyNumberFormat="1" applyFont="1" applyFill="1" applyAlignment="1">
      <alignment horizontal="centerContinuous" vertical="center"/>
    </xf>
    <xf numFmtId="0" fontId="6" fillId="2" borderId="6" xfId="0" applyNumberFormat="1" applyFont="1" applyFill="1" applyAlignment="1">
      <alignment horizontal="centerContinuous" vertical="center"/>
    </xf>
    <xf numFmtId="0" fontId="11" fillId="0" borderId="9" xfId="0" applyNumberFormat="1" applyFont="1" applyAlignment="1">
      <alignment vertical="center"/>
    </xf>
    <xf numFmtId="0" fontId="11" fillId="0" borderId="4" xfId="0" applyNumberFormat="1" applyFont="1" applyAlignment="1">
      <alignment vertical="center"/>
    </xf>
    <xf numFmtId="0" fontId="11" fillId="2" borderId="9" xfId="0" applyNumberFormat="1" applyFont="1" applyFill="1" applyAlignment="1">
      <alignment horizontal="center" vertical="center"/>
    </xf>
    <xf numFmtId="0" fontId="22" fillId="0" borderId="9" xfId="0" applyNumberFormat="1" applyFont="1" applyFill="1" applyAlignment="1">
      <alignment horizontal="center" vertical="center"/>
    </xf>
    <xf numFmtId="0" fontId="22" fillId="0" borderId="10" xfId="0" applyNumberFormat="1" applyFont="1" applyFill="1" applyAlignment="1">
      <alignment horizontal="center" vertical="center"/>
    </xf>
    <xf numFmtId="0" fontId="11" fillId="2" borderId="9" xfId="0" applyNumberFormat="1" applyFont="1" applyFill="1" applyAlignment="1">
      <alignment horizontal="centerContinuous" vertical="center"/>
    </xf>
    <xf numFmtId="0" fontId="11" fillId="2" borderId="0" xfId="0" applyNumberFormat="1" applyFont="1" applyFill="1" applyAlignment="1">
      <alignment horizontal="centerContinuous" vertical="center"/>
    </xf>
    <xf numFmtId="0" fontId="19" fillId="0" borderId="9" xfId="0" applyNumberFormat="1" applyFont="1" applyFill="1" applyAlignment="1">
      <alignment horizontal="center" vertical="center"/>
    </xf>
    <xf numFmtId="0" fontId="19" fillId="0" borderId="10" xfId="0" applyNumberFormat="1" applyFont="1" applyFill="1" applyAlignment="1">
      <alignment horizontal="center" vertical="center"/>
    </xf>
    <xf numFmtId="0" fontId="6" fillId="2" borderId="9" xfId="0" applyNumberFormat="1" applyFont="1" applyFill="1" applyAlignment="1">
      <alignment horizontal="centerContinuous" vertical="center"/>
    </xf>
    <xf numFmtId="0" fontId="6" fillId="2" borderId="0" xfId="0" applyNumberFormat="1" applyFont="1" applyFill="1" applyAlignment="1">
      <alignment horizontal="centerContinuous" vertical="center"/>
    </xf>
    <xf numFmtId="0" fontId="16" fillId="0" borderId="9" xfId="0" applyNumberFormat="1" applyFont="1" applyFill="1" applyAlignment="1">
      <alignment horizontal="center" vertical="center"/>
    </xf>
    <xf numFmtId="0" fontId="16" fillId="0" borderId="10" xfId="0" applyNumberFormat="1" applyFont="1" applyFill="1" applyAlignment="1">
      <alignment horizontal="center" vertical="center"/>
    </xf>
    <xf numFmtId="20" fontId="16" fillId="0" borderId="8" xfId="0" applyNumberFormat="1" applyFont="1" applyAlignment="1">
      <alignment horizontal="center" vertical="center"/>
    </xf>
    <xf numFmtId="0" fontId="16" fillId="0" borderId="8" xfId="0" applyNumberFormat="1" applyFont="1" applyAlignment="1">
      <alignment horizontal="center"/>
    </xf>
    <xf numFmtId="1" fontId="9" fillId="2" borderId="16" xfId="0" applyNumberFormat="1" applyFont="1" applyFill="1" applyAlignment="1">
      <alignment horizontal="center" vertical="center"/>
    </xf>
    <xf numFmtId="174" fontId="9" fillId="0" borderId="16" xfId="0" applyNumberFormat="1" applyFont="1" applyFill="1" applyAlignment="1">
      <alignment horizontal="center" vertical="center"/>
    </xf>
    <xf numFmtId="20" fontId="16" fillId="0" borderId="16" xfId="0" applyNumberFormat="1" applyFont="1" applyAlignment="1">
      <alignment horizontal="center" vertical="center"/>
    </xf>
    <xf numFmtId="0" fontId="16" fillId="0" borderId="16" xfId="0" applyNumberFormat="1" applyFont="1" applyAlignment="1">
      <alignment horizontal="center"/>
    </xf>
    <xf numFmtId="1" fontId="9" fillId="2" borderId="8" xfId="0" applyNumberFormat="1" applyFont="1" applyFill="1" applyAlignment="1">
      <alignment horizontal="center" vertical="center"/>
    </xf>
    <xf numFmtId="174" fontId="9" fillId="0" borderId="8" xfId="0" applyNumberFormat="1" applyFont="1" applyFill="1" applyAlignment="1">
      <alignment horizontal="center" vertical="center"/>
    </xf>
    <xf numFmtId="0" fontId="23" fillId="0" borderId="6" xfId="0" applyNumberFormat="1" applyFont="1" applyAlignment="1">
      <alignment/>
    </xf>
    <xf numFmtId="0" fontId="23" fillId="0" borderId="6" xfId="0" applyNumberFormat="1" applyFont="1" applyAlignment="1">
      <alignment horizontal="right"/>
    </xf>
    <xf numFmtId="0" fontId="24" fillId="0" borderId="6" xfId="0" applyNumberFormat="1" applyFont="1" applyAlignment="1">
      <alignment/>
    </xf>
    <xf numFmtId="0" fontId="11" fillId="0" borderId="6" xfId="0" applyNumberFormat="1" applyFont="1" applyAlignment="1">
      <alignment horizontal="right"/>
    </xf>
    <xf numFmtId="0" fontId="18" fillId="0" borderId="6" xfId="0" applyNumberFormat="1" applyFont="1" applyAlignment="1">
      <alignment/>
    </xf>
    <xf numFmtId="0" fontId="25" fillId="0" borderId="6" xfId="0" applyNumberFormat="1" applyFont="1" applyAlignment="1">
      <alignment/>
    </xf>
    <xf numFmtId="0" fontId="26" fillId="0" borderId="6" xfId="0" applyNumberFormat="1" applyFont="1" applyAlignment="1">
      <alignment horizontal="right"/>
    </xf>
    <xf numFmtId="0" fontId="9" fillId="0" borderId="8" xfId="0" applyNumberFormat="1" applyFont="1" applyFill="1" applyAlignment="1">
      <alignment horizontal="center"/>
    </xf>
    <xf numFmtId="174" fontId="9" fillId="0" borderId="8" xfId="0" applyNumberFormat="1" applyFont="1" applyFill="1" applyAlignment="1">
      <alignment horizontal="center"/>
    </xf>
    <xf numFmtId="0" fontId="0" fillId="0" borderId="8" xfId="0" applyNumberFormat="1" applyAlignment="1">
      <alignment/>
    </xf>
    <xf numFmtId="0" fontId="26" fillId="0" borderId="0" xfId="0" applyNumberFormat="1" applyFont="1" applyAlignment="1">
      <alignment horizontal="right"/>
    </xf>
    <xf numFmtId="0" fontId="11" fillId="0" borderId="2" xfId="0" applyNumberFormat="1" applyFont="1" applyAlignment="1">
      <alignment/>
    </xf>
    <xf numFmtId="0" fontId="11" fillId="0" borderId="2" xfId="0" applyNumberFormat="1" applyFont="1" applyFill="1" applyAlignment="1">
      <alignment/>
    </xf>
    <xf numFmtId="0" fontId="11" fillId="0" borderId="3" xfId="0" applyNumberFormat="1" applyFont="1" applyFill="1" applyAlignment="1">
      <alignment/>
    </xf>
    <xf numFmtId="0" fontId="6" fillId="2" borderId="2" xfId="0" applyNumberFormat="1" applyFont="1" applyFill="1" applyAlignment="1">
      <alignment/>
    </xf>
    <xf numFmtId="0" fontId="7" fillId="2" borderId="2" xfId="0" applyNumberFormat="1" applyFont="1" applyFill="1" applyAlignment="1">
      <alignment horizontal="centerContinuous"/>
    </xf>
    <xf numFmtId="0" fontId="6" fillId="2" borderId="2" xfId="0" applyNumberFormat="1" applyFont="1" applyFill="1" applyAlignment="1">
      <alignment horizontal="centerContinuous"/>
    </xf>
    <xf numFmtId="0" fontId="7" fillId="5" borderId="2" xfId="0" applyNumberFormat="1" applyFont="1" applyFill="1" applyAlignment="1">
      <alignment horizontal="centerContinuous"/>
    </xf>
    <xf numFmtId="0" fontId="7" fillId="3" borderId="3" xfId="0" applyNumberFormat="1" applyFont="1" applyFill="1" applyAlignment="1">
      <alignment horizontal="centerContinuous"/>
    </xf>
    <xf numFmtId="0" fontId="16" fillId="0" borderId="4" xfId="0" applyNumberFormat="1" applyFont="1" applyAlignment="1">
      <alignment/>
    </xf>
    <xf numFmtId="0" fontId="13" fillId="6" borderId="8" xfId="0" applyNumberFormat="1" applyFont="1" applyFill="1" applyAlignment="1">
      <alignment horizontal="centerContinuous"/>
    </xf>
    <xf numFmtId="0" fontId="13" fillId="6" borderId="6" xfId="0" applyNumberFormat="1" applyFont="1" applyFill="1" applyAlignment="1">
      <alignment horizontal="centerContinuous"/>
    </xf>
    <xf numFmtId="0" fontId="16" fillId="5" borderId="9" xfId="0" applyNumberFormat="1" applyFont="1" applyFill="1" applyAlignment="1">
      <alignment/>
    </xf>
    <xf numFmtId="0" fontId="16" fillId="3" borderId="10" xfId="0" applyNumberFormat="1" applyFont="1" applyFill="1" applyAlignment="1">
      <alignment/>
    </xf>
    <xf numFmtId="0" fontId="13" fillId="6" borderId="8" xfId="0" applyNumberFormat="1" applyFont="1" applyFill="1" applyAlignment="1">
      <alignment horizontal="centerContinuous" vertical="center"/>
    </xf>
    <xf numFmtId="0" fontId="16" fillId="6" borderId="6" xfId="0" applyNumberFormat="1" applyFont="1" applyFill="1" applyAlignment="1">
      <alignment horizontal="centerContinuous" vertical="center"/>
    </xf>
    <xf numFmtId="0" fontId="13" fillId="6" borderId="6" xfId="0" applyNumberFormat="1" applyFont="1" applyFill="1" applyAlignment="1">
      <alignment horizontal="centerContinuous" vertical="center"/>
    </xf>
    <xf numFmtId="0" fontId="16" fillId="0" borderId="9" xfId="0" applyNumberFormat="1" applyFont="1" applyAlignment="1">
      <alignment/>
    </xf>
    <xf numFmtId="0" fontId="6" fillId="2" borderId="8" xfId="0" applyNumberFormat="1" applyFont="1" applyFill="1" applyAlignment="1">
      <alignment/>
    </xf>
    <xf numFmtId="0" fontId="11" fillId="2" borderId="6" xfId="0" applyNumberFormat="1" applyFont="1" applyFill="1" applyAlignment="1">
      <alignment/>
    </xf>
    <xf numFmtId="1" fontId="9" fillId="2" borderId="17" xfId="0" applyNumberFormat="1" applyFont="1" applyFill="1" applyBorder="1" applyAlignment="1">
      <alignment horizontal="center" vertical="center"/>
    </xf>
    <xf numFmtId="1" fontId="9" fillId="2" borderId="18" xfId="0" applyNumberFormat="1" applyFont="1" applyFill="1" applyBorder="1" applyAlignment="1">
      <alignment horizontal="center" vertical="center"/>
    </xf>
    <xf numFmtId="0" fontId="11" fillId="5" borderId="9" xfId="0" applyNumberFormat="1" applyFont="1" applyFill="1" applyAlignment="1">
      <alignment/>
    </xf>
    <xf numFmtId="0" fontId="11" fillId="3" borderId="10" xfId="0" applyNumberFormat="1" applyFont="1" applyFill="1" applyAlignment="1">
      <alignment/>
    </xf>
    <xf numFmtId="0" fontId="0" fillId="2" borderId="6" xfId="0" applyNumberFormat="1" applyFont="1" applyFill="1" applyAlignment="1">
      <alignment horizontal="centerContinuous" vertical="center"/>
    </xf>
    <xf numFmtId="0" fontId="6" fillId="2" borderId="6" xfId="0" applyNumberFormat="1" applyFont="1" applyFill="1" applyAlignment="1">
      <alignment horizontal="center" vertical="center"/>
    </xf>
    <xf numFmtId="0" fontId="6" fillId="2" borderId="9" xfId="0" applyNumberFormat="1" applyFont="1" applyFill="1" applyAlignment="1">
      <alignment/>
    </xf>
    <xf numFmtId="0" fontId="11" fillId="2" borderId="0" xfId="0" applyNumberFormat="1" applyFont="1" applyFill="1" applyAlignment="1">
      <alignment/>
    </xf>
    <xf numFmtId="0" fontId="0" fillId="2" borderId="0" xfId="0" applyNumberFormat="1" applyFont="1" applyFill="1" applyAlignment="1">
      <alignment horizontal="centerContinuous" vertical="center"/>
    </xf>
    <xf numFmtId="0" fontId="11" fillId="2" borderId="6" xfId="0" applyNumberFormat="1" applyFont="1" applyFill="1" applyAlignment="1">
      <alignment/>
    </xf>
    <xf numFmtId="1" fontId="9" fillId="0" borderId="8" xfId="0" applyNumberFormat="1" applyFont="1" applyFill="1" applyAlignment="1">
      <alignment horizontal="center" vertical="center"/>
    </xf>
    <xf numFmtId="20" fontId="16" fillId="0" borderId="8" xfId="0" applyNumberFormat="1" applyFont="1" applyAlignment="1">
      <alignment horizontal="center" vertical="center"/>
    </xf>
    <xf numFmtId="0" fontId="16" fillId="0" borderId="8" xfId="0" applyNumberFormat="1" applyFont="1" applyAlignment="1">
      <alignment horizontal="center"/>
    </xf>
    <xf numFmtId="20" fontId="16" fillId="0" borderId="19" xfId="0" applyNumberFormat="1" applyFont="1" applyBorder="1" applyAlignment="1">
      <alignment horizontal="center" vertical="center"/>
    </xf>
    <xf numFmtId="0" fontId="16" fillId="0" borderId="20" xfId="0" applyNumberFormat="1" applyFont="1" applyBorder="1" applyAlignment="1">
      <alignment horizontal="center"/>
    </xf>
    <xf numFmtId="1" fontId="17" fillId="0" borderId="18" xfId="0" applyNumberFormat="1" applyFont="1" applyBorder="1" applyAlignment="1">
      <alignment horizontal="center" vertical="center"/>
    </xf>
    <xf numFmtId="174" fontId="9" fillId="0" borderId="18"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21" xfId="0" applyNumberFormat="1" applyFont="1" applyFill="1" applyBorder="1" applyAlignment="1">
      <alignment horizontal="centerContinuous" vertical="center"/>
    </xf>
    <xf numFmtId="0" fontId="6" fillId="2" borderId="22" xfId="0" applyNumberFormat="1" applyFont="1" applyFill="1" applyBorder="1" applyAlignment="1">
      <alignment horizontal="centerContinuous" vertical="center"/>
    </xf>
    <xf numFmtId="0" fontId="6" fillId="2" borderId="23" xfId="0" applyNumberFormat="1" applyFont="1" applyFill="1" applyBorder="1" applyAlignment="1">
      <alignment horizontal="center" vertical="center"/>
    </xf>
    <xf numFmtId="0" fontId="11" fillId="2" borderId="0" xfId="0" applyNumberFormat="1" applyFont="1" applyFill="1" applyAlignment="1">
      <alignment/>
    </xf>
    <xf numFmtId="0" fontId="0" fillId="0" borderId="6" xfId="0" applyNumberFormat="1" applyAlignment="1">
      <alignment/>
    </xf>
    <xf numFmtId="0" fontId="0" fillId="0" borderId="9" xfId="0" applyNumberFormat="1" applyAlignment="1">
      <alignment/>
    </xf>
    <xf numFmtId="0" fontId="16" fillId="0" borderId="6" xfId="0" applyNumberFormat="1" applyFont="1" applyAlignment="1">
      <alignment/>
    </xf>
    <xf numFmtId="0" fontId="27" fillId="0" borderId="6" xfId="0" applyNumberFormat="1" applyFont="1" applyAlignment="1">
      <alignment horizontal="right"/>
    </xf>
    <xf numFmtId="0" fontId="5" fillId="0" borderId="6" xfId="0" applyNumberFormat="1" applyFont="1" applyAlignment="1">
      <alignment/>
    </xf>
    <xf numFmtId="0" fontId="16" fillId="2" borderId="8" xfId="0" applyNumberFormat="1" applyFont="1" applyFill="1" applyAlignment="1">
      <alignment horizontal="center" vertical="center"/>
    </xf>
    <xf numFmtId="174" fontId="16" fillId="2" borderId="8" xfId="0" applyNumberFormat="1" applyFont="1" applyFill="1" applyAlignment="1">
      <alignment horizontal="center" vertical="center"/>
    </xf>
    <xf numFmtId="0" fontId="16" fillId="0" borderId="8" xfId="0" applyNumberFormat="1" applyFont="1" applyAlignment="1">
      <alignment/>
    </xf>
    <xf numFmtId="0" fontId="16" fillId="7" borderId="6" xfId="0" applyNumberFormat="1" applyFont="1" applyFill="1" applyAlignment="1">
      <alignment horizontal="left" vertical="center"/>
    </xf>
    <xf numFmtId="0" fontId="11" fillId="7" borderId="9" xfId="0" applyNumberFormat="1" applyFont="1" applyFill="1" applyAlignment="1">
      <alignment horizontal="left" vertical="center"/>
    </xf>
    <xf numFmtId="0" fontId="11" fillId="7" borderId="0" xfId="0" applyNumberFormat="1" applyFont="1" applyFill="1" applyAlignment="1">
      <alignment horizontal="centerContinuous" vertical="center"/>
    </xf>
    <xf numFmtId="0" fontId="11" fillId="7" borderId="0" xfId="0" applyNumberFormat="1" applyFont="1" applyFill="1" applyAlignment="1">
      <alignment horizontal="left" vertical="center"/>
    </xf>
    <xf numFmtId="0" fontId="11" fillId="7" borderId="13" xfId="0" applyNumberFormat="1" applyFont="1" applyFill="1" applyAlignment="1">
      <alignment horizontal="left" vertical="center"/>
    </xf>
    <xf numFmtId="0" fontId="11" fillId="5" borderId="9" xfId="0" applyNumberFormat="1" applyFont="1" applyFill="1" applyAlignment="1">
      <alignment horizontal="center" vertical="center"/>
    </xf>
    <xf numFmtId="0" fontId="11" fillId="3" borderId="10" xfId="0" applyNumberFormat="1" applyFont="1" applyFill="1" applyAlignment="1">
      <alignment horizontal="center" vertical="center"/>
    </xf>
    <xf numFmtId="0" fontId="0" fillId="0" borderId="9" xfId="0" applyNumberFormat="1" applyAlignment="1">
      <alignment/>
    </xf>
    <xf numFmtId="0" fontId="22" fillId="5" borderId="9" xfId="0" applyNumberFormat="1" applyFont="1" applyFill="1" applyAlignment="1">
      <alignment horizontal="center" vertical="center"/>
    </xf>
    <xf numFmtId="0" fontId="22" fillId="3" borderId="10" xfId="0" applyNumberFormat="1" applyFont="1" applyFill="1" applyAlignment="1">
      <alignment horizontal="center" vertical="center"/>
    </xf>
    <xf numFmtId="0" fontId="22" fillId="7" borderId="9" xfId="0" applyNumberFormat="1" applyFont="1" applyFill="1" applyAlignment="1">
      <alignment horizontal="left" vertical="center"/>
    </xf>
    <xf numFmtId="0" fontId="22" fillId="7" borderId="0" xfId="0" applyNumberFormat="1" applyFont="1" applyFill="1" applyAlignment="1">
      <alignment horizontal="centerContinuous" vertical="center"/>
    </xf>
    <xf numFmtId="0" fontId="17" fillId="0" borderId="24" xfId="0" applyNumberFormat="1" applyFont="1" applyFill="1" applyBorder="1" applyAlignment="1">
      <alignment horizontal="left"/>
    </xf>
    <xf numFmtId="2" fontId="16" fillId="2" borderId="24" xfId="0" applyNumberFormat="1" applyFont="1" applyFill="1" applyBorder="1" applyAlignment="1">
      <alignment horizontal="center"/>
    </xf>
    <xf numFmtId="0" fontId="16" fillId="2" borderId="24" xfId="0" applyNumberFormat="1" applyFont="1" applyFill="1" applyBorder="1" applyAlignment="1">
      <alignment horizontal="center"/>
    </xf>
    <xf numFmtId="0" fontId="16" fillId="2" borderId="25" xfId="0" applyNumberFormat="1" applyFont="1" applyFill="1" applyBorder="1" applyAlignment="1">
      <alignment horizontal="center"/>
    </xf>
    <xf numFmtId="0" fontId="14" fillId="2" borderId="21" xfId="0" applyNumberFormat="1" applyFont="1" applyFill="1" applyBorder="1" applyAlignment="1">
      <alignment horizontal="center" vertical="center"/>
    </xf>
    <xf numFmtId="0" fontId="14" fillId="2" borderId="26" xfId="0" applyNumberFormat="1" applyFont="1" applyFill="1" applyBorder="1" applyAlignment="1">
      <alignment horizontal="center" vertical="center"/>
    </xf>
    <xf numFmtId="0" fontId="22" fillId="7" borderId="0" xfId="0" applyNumberFormat="1" applyFont="1" applyFill="1" applyAlignment="1">
      <alignment horizontal="left" vertical="center"/>
    </xf>
    <xf numFmtId="0" fontId="19" fillId="5" borderId="9" xfId="0" applyNumberFormat="1" applyFont="1" applyFill="1" applyAlignment="1">
      <alignment horizontal="center" vertical="center"/>
    </xf>
    <xf numFmtId="0" fontId="19" fillId="3" borderId="10" xfId="0" applyNumberFormat="1" applyFont="1" applyFill="1" applyAlignment="1">
      <alignment horizontal="center" vertical="center"/>
    </xf>
    <xf numFmtId="0" fontId="19" fillId="7" borderId="0" xfId="0" applyNumberFormat="1" applyFont="1" applyFill="1" applyAlignment="1">
      <alignment horizontal="centerContinuous" vertical="center"/>
    </xf>
    <xf numFmtId="0" fontId="19" fillId="7" borderId="0" xfId="0" applyNumberFormat="1" applyFont="1" applyFill="1" applyAlignment="1">
      <alignment horizontal="left" vertical="center"/>
    </xf>
    <xf numFmtId="0" fontId="11" fillId="2" borderId="9" xfId="0" applyNumberFormat="1" applyFont="1" applyFill="1" applyAlignment="1">
      <alignment horizontal="left"/>
    </xf>
    <xf numFmtId="0" fontId="11" fillId="2" borderId="0" xfId="0" applyNumberFormat="1" applyFont="1" applyFill="1" applyAlignment="1">
      <alignment horizontal="left"/>
    </xf>
    <xf numFmtId="0" fontId="6" fillId="2" borderId="0" xfId="0" applyNumberFormat="1" applyFont="1" applyFill="1" applyAlignment="1">
      <alignment horizontal="centerContinuous" vertical="center"/>
    </xf>
    <xf numFmtId="0" fontId="6" fillId="2" borderId="0" xfId="0" applyNumberFormat="1" applyFont="1" applyFill="1" applyAlignment="1">
      <alignment horizontal="centerContinuous"/>
    </xf>
    <xf numFmtId="0" fontId="6" fillId="0" borderId="0" xfId="0" applyNumberFormat="1" applyFont="1" applyAlignment="1">
      <alignment horizontal="left"/>
    </xf>
    <xf numFmtId="0" fontId="19" fillId="2" borderId="8" xfId="0" applyNumberFormat="1" applyFont="1" applyFill="1" applyAlignment="1">
      <alignment horizontal="centerContinuous" vertical="center"/>
    </xf>
    <xf numFmtId="0" fontId="19" fillId="2" borderId="6" xfId="0" applyNumberFormat="1" applyFont="1" applyFill="1" applyAlignment="1">
      <alignment horizontal="centerContinuous" vertical="center"/>
    </xf>
    <xf numFmtId="0" fontId="11" fillId="0" borderId="8" xfId="0" applyNumberFormat="1" applyFont="1" applyAlignment="1">
      <alignment/>
    </xf>
    <xf numFmtId="0" fontId="21" fillId="0" borderId="6" xfId="0" applyNumberFormat="1" applyFont="1" applyAlignment="1">
      <alignment horizontal="center"/>
    </xf>
    <xf numFmtId="0" fontId="11" fillId="0" borderId="6" xfId="0" applyNumberFormat="1" applyFont="1" applyAlignment="1">
      <alignment/>
    </xf>
    <xf numFmtId="0" fontId="11" fillId="0" borderId="9" xfId="0" applyNumberFormat="1" applyFont="1" applyAlignment="1">
      <alignment/>
    </xf>
    <xf numFmtId="0" fontId="11" fillId="0" borderId="0" xfId="0" applyNumberFormat="1" applyFont="1" applyAlignment="1">
      <alignment/>
    </xf>
    <xf numFmtId="0" fontId="14" fillId="8" borderId="8" xfId="0" applyNumberFormat="1" applyFont="1" applyFill="1" applyAlignment="1">
      <alignment horizontal="centerContinuous"/>
    </xf>
    <xf numFmtId="0" fontId="6" fillId="0" borderId="9" xfId="0" applyNumberFormat="1" applyFont="1" applyAlignment="1">
      <alignment/>
    </xf>
    <xf numFmtId="0" fontId="14" fillId="8" borderId="6" xfId="0" applyNumberFormat="1" applyFont="1" applyFill="1" applyAlignment="1">
      <alignment horizontal="centerContinuous"/>
    </xf>
    <xf numFmtId="173" fontId="14" fillId="8" borderId="6" xfId="0" applyNumberFormat="1" applyFont="1" applyFill="1" applyAlignment="1">
      <alignment horizontal="centerContinuous"/>
    </xf>
    <xf numFmtId="0" fontId="14" fillId="0" borderId="9" xfId="0" applyNumberFormat="1" applyFont="1" applyFill="1" applyAlignment="1">
      <alignment horizontal="center"/>
    </xf>
    <xf numFmtId="0" fontId="14" fillId="8" borderId="1" xfId="0" applyNumberFormat="1" applyFont="1" applyFill="1" applyAlignment="1">
      <alignment horizontal="centerContinuous"/>
    </xf>
    <xf numFmtId="0" fontId="6" fillId="8" borderId="2" xfId="0" applyNumberFormat="1" applyFont="1" applyFill="1" applyAlignment="1">
      <alignment horizontal="centerContinuous"/>
    </xf>
    <xf numFmtId="0" fontId="14" fillId="8" borderId="2" xfId="0" applyNumberFormat="1" applyFont="1" applyFill="1" applyAlignment="1">
      <alignment horizontal="centerContinuous"/>
    </xf>
    <xf numFmtId="0" fontId="6" fillId="0" borderId="4" xfId="0" applyNumberFormat="1" applyFont="1" applyAlignment="1">
      <alignment/>
    </xf>
    <xf numFmtId="0" fontId="6" fillId="0" borderId="0" xfId="0" applyNumberFormat="1" applyFont="1" applyAlignment="1">
      <alignment/>
    </xf>
    <xf numFmtId="0" fontId="14" fillId="8" borderId="9" xfId="0" applyNumberFormat="1" applyFont="1" applyFill="1" applyAlignment="1">
      <alignment horizontal="centerContinuous"/>
    </xf>
    <xf numFmtId="0" fontId="6" fillId="8" borderId="0" xfId="0" applyNumberFormat="1" applyFont="1" applyFill="1" applyAlignment="1">
      <alignment horizontal="centerContinuous"/>
    </xf>
    <xf numFmtId="0" fontId="14" fillId="8" borderId="0" xfId="0" applyNumberFormat="1" applyFont="1" applyFill="1" applyAlignment="1">
      <alignment horizontal="centerContinuous"/>
    </xf>
    <xf numFmtId="173" fontId="14" fillId="8" borderId="0" xfId="0" applyNumberFormat="1" applyFont="1" applyFill="1" applyAlignment="1">
      <alignment horizontal="centerContinuous"/>
    </xf>
    <xf numFmtId="0" fontId="14" fillId="8" borderId="4" xfId="0" applyNumberFormat="1" applyFont="1" applyFill="1" applyAlignment="1">
      <alignment horizontal="centerContinuous"/>
    </xf>
    <xf numFmtId="0" fontId="6" fillId="0" borderId="8" xfId="0" applyNumberFormat="1" applyFont="1" applyFill="1" applyAlignment="1">
      <alignment horizontal="center" vertical="center"/>
    </xf>
    <xf numFmtId="0" fontId="6" fillId="0" borderId="8" xfId="0" applyNumberFormat="1" applyFont="1" applyAlignment="1">
      <alignment/>
    </xf>
    <xf numFmtId="0" fontId="14" fillId="0" borderId="8" xfId="0" applyNumberFormat="1" applyFont="1" applyFill="1" applyAlignment="1">
      <alignment horizontal="center" vertical="center"/>
    </xf>
    <xf numFmtId="173" fontId="14" fillId="0" borderId="8" xfId="0" applyNumberFormat="1" applyFont="1" applyFill="1" applyAlignment="1">
      <alignment horizontal="center" vertical="center"/>
    </xf>
    <xf numFmtId="0" fontId="6" fillId="0" borderId="9" xfId="0" applyNumberFormat="1" applyFont="1" applyFill="1" applyAlignment="1">
      <alignment horizontal="center"/>
    </xf>
    <xf numFmtId="0" fontId="6" fillId="0" borderId="1" xfId="0" applyNumberFormat="1" applyFont="1" applyFill="1" applyAlignment="1">
      <alignment horizontal="center" vertical="center"/>
    </xf>
    <xf numFmtId="0" fontId="6" fillId="0" borderId="27" xfId="0" applyNumberFormat="1" applyFont="1" applyFill="1" applyAlignment="1">
      <alignment horizontal="center" vertical="center"/>
    </xf>
    <xf numFmtId="0" fontId="14" fillId="0" borderId="5" xfId="0" applyNumberFormat="1" applyFont="1" applyFill="1" applyAlignment="1">
      <alignment horizontal="center" vertical="center"/>
    </xf>
    <xf numFmtId="0" fontId="6" fillId="0" borderId="8" xfId="0" applyNumberFormat="1" applyFont="1" applyFill="1" applyAlignment="1">
      <alignment horizontal="center" vertical="center" wrapText="1"/>
    </xf>
    <xf numFmtId="0" fontId="6" fillId="0" borderId="8" xfId="0" applyNumberFormat="1" applyFont="1" applyAlignment="1">
      <alignment horizontal="center" vertical="center" wrapText="1"/>
    </xf>
    <xf numFmtId="0" fontId="6" fillId="0" borderId="4" xfId="0" applyNumberFormat="1" applyFont="1" applyAlignment="1">
      <alignment/>
    </xf>
    <xf numFmtId="1" fontId="14" fillId="0" borderId="28" xfId="0" applyNumberFormat="1" applyFont="1" applyBorder="1" applyAlignment="1">
      <alignment horizontal="center"/>
    </xf>
    <xf numFmtId="0" fontId="6" fillId="0" borderId="0" xfId="0" applyNumberFormat="1" applyFont="1" applyAlignment="1">
      <alignment/>
    </xf>
    <xf numFmtId="0" fontId="6" fillId="0" borderId="8" xfId="0" applyNumberFormat="1" applyFont="1" applyAlignment="1">
      <alignment horizontal="center"/>
    </xf>
    <xf numFmtId="173" fontId="6" fillId="0" borderId="8" xfId="0" applyNumberFormat="1" applyFont="1" applyAlignment="1">
      <alignment horizontal="center"/>
    </xf>
    <xf numFmtId="0" fontId="6" fillId="0" borderId="8" xfId="0" applyNumberFormat="1" applyFont="1" applyAlignment="1">
      <alignment/>
    </xf>
    <xf numFmtId="0" fontId="6" fillId="0" borderId="9" xfId="0" applyNumberFormat="1" applyFont="1" applyAlignment="1">
      <alignment/>
    </xf>
    <xf numFmtId="0" fontId="6" fillId="0" borderId="9" xfId="0" applyNumberFormat="1" applyFont="1" applyFill="1" applyAlignment="1">
      <alignment horizontal="center"/>
    </xf>
    <xf numFmtId="0" fontId="14" fillId="0" borderId="5" xfId="0" applyNumberFormat="1" applyFont="1" applyFill="1" applyAlignment="1">
      <alignment horizontal="centerContinuous" vertical="center"/>
    </xf>
    <xf numFmtId="172" fontId="6" fillId="0" borderId="8" xfId="0" applyNumberFormat="1" applyFont="1" applyFill="1" applyAlignment="1">
      <alignment horizontal="center" vertical="center"/>
    </xf>
    <xf numFmtId="173" fontId="6" fillId="0" borderId="8" xfId="0" applyNumberFormat="1" applyFont="1" applyFill="1" applyAlignment="1">
      <alignment horizontal="center" vertical="center"/>
    </xf>
    <xf numFmtId="0" fontId="6" fillId="0" borderId="8" xfId="0" applyFont="1" applyFill="1" applyAlignment="1">
      <alignment horizontal="center" vertical="center"/>
    </xf>
    <xf numFmtId="0" fontId="6" fillId="0" borderId="8" xfId="0" applyFont="1" applyFill="1" applyAlignment="1">
      <alignment horizontal="left" vertical="center"/>
    </xf>
    <xf numFmtId="0" fontId="6" fillId="0" borderId="4" xfId="0" applyFont="1" applyAlignment="1">
      <alignment/>
    </xf>
    <xf numFmtId="0" fontId="6" fillId="0" borderId="0" xfId="0" applyFont="1" applyAlignment="1">
      <alignment/>
    </xf>
    <xf numFmtId="0" fontId="6" fillId="0" borderId="5" xfId="0" applyFont="1" applyFill="1" applyAlignment="1">
      <alignment horizontal="center"/>
    </xf>
    <xf numFmtId="0" fontId="6" fillId="0" borderId="8" xfId="0" applyFont="1" applyFill="1" applyAlignment="1">
      <alignment horizontal="center"/>
    </xf>
    <xf numFmtId="0" fontId="6" fillId="0" borderId="8" xfId="0" applyFont="1" applyFill="1" applyAlignment="1">
      <alignment horizontal="left"/>
    </xf>
    <xf numFmtId="0" fontId="6" fillId="0" borderId="2" xfId="0" applyFont="1" applyAlignment="1">
      <alignment/>
    </xf>
    <xf numFmtId="0" fontId="6" fillId="2" borderId="8" xfId="0" applyNumberFormat="1" applyFont="1" applyFill="1" applyAlignment="1">
      <alignment horizontal="center"/>
    </xf>
    <xf numFmtId="0" fontId="6" fillId="2" borderId="12" xfId="0" applyNumberFormat="1" applyFont="1" applyFill="1" applyBorder="1" applyAlignment="1">
      <alignment horizontal="center"/>
    </xf>
    <xf numFmtId="0" fontId="6" fillId="4" borderId="12" xfId="0" applyNumberFormat="1" applyFont="1" applyFill="1" applyBorder="1" applyAlignment="1">
      <alignment/>
    </xf>
    <xf numFmtId="1" fontId="6" fillId="0" borderId="29" xfId="0" applyNumberFormat="1" applyFont="1" applyBorder="1" applyAlignment="1">
      <alignment horizontal="center"/>
    </xf>
    <xf numFmtId="174" fontId="16" fillId="0" borderId="6" xfId="0" applyNumberFormat="1" applyFont="1" applyFill="1" applyBorder="1" applyAlignment="1">
      <alignment horizontal="left" vertical="center"/>
    </xf>
    <xf numFmtId="0" fontId="16" fillId="0" borderId="6" xfId="0" applyNumberFormat="1" applyFont="1" applyFill="1" applyAlignment="1">
      <alignment horizontal="left" vertical="center"/>
    </xf>
    <xf numFmtId="0" fontId="5" fillId="0" borderId="6" xfId="0" applyNumberFormat="1" applyFont="1" applyAlignment="1">
      <alignment horizontal="left" vertical="center"/>
    </xf>
    <xf numFmtId="0" fontId="6" fillId="0" borderId="8" xfId="0" applyFont="1" applyAlignment="1">
      <alignment/>
    </xf>
    <xf numFmtId="0" fontId="14" fillId="0" borderId="8" xfId="0" applyFont="1" applyAlignment="1">
      <alignment horizontal="left"/>
    </xf>
    <xf numFmtId="0" fontId="14" fillId="0" borderId="8" xfId="0" applyFont="1" applyAlignment="1">
      <alignment horizontal="center"/>
    </xf>
    <xf numFmtId="0" fontId="6" fillId="0" borderId="6" xfId="0" applyFont="1" applyAlignment="1">
      <alignment/>
    </xf>
    <xf numFmtId="0" fontId="6" fillId="0" borderId="0" xfId="0" applyFont="1" applyAlignment="1">
      <alignment horizontal="center"/>
    </xf>
    <xf numFmtId="0" fontId="0" fillId="0" borderId="0" xfId="0" applyFont="1" applyAlignment="1">
      <alignment/>
    </xf>
    <xf numFmtId="0" fontId="5" fillId="0" borderId="0" xfId="0" applyFont="1" applyAlignment="1">
      <alignment horizontal="centerContinuous"/>
    </xf>
    <xf numFmtId="0" fontId="5" fillId="0" borderId="8" xfId="0" applyFont="1" applyAlignment="1">
      <alignment horizontal="center"/>
    </xf>
    <xf numFmtId="0" fontId="5" fillId="0" borderId="6" xfId="0" applyFont="1" applyAlignment="1">
      <alignment horizontal="center"/>
    </xf>
    <xf numFmtId="0" fontId="28" fillId="0" borderId="6" xfId="0" applyFont="1" applyAlignment="1">
      <alignment horizontal="center"/>
    </xf>
    <xf numFmtId="0" fontId="0" fillId="0" borderId="6" xfId="0" applyAlignment="1">
      <alignment/>
    </xf>
    <xf numFmtId="0" fontId="0" fillId="0" borderId="9" xfId="0" applyAlignment="1">
      <alignment/>
    </xf>
    <xf numFmtId="0" fontId="0" fillId="0" borderId="8" xfId="0" applyAlignment="1">
      <alignment/>
    </xf>
    <xf numFmtId="0" fontId="29" fillId="0" borderId="6" xfId="0" applyFont="1" applyAlignment="1">
      <alignment/>
    </xf>
    <xf numFmtId="0" fontId="5" fillId="0" borderId="9"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12" fillId="0" borderId="0" xfId="0" applyFont="1" applyAlignment="1">
      <alignment vertical="center"/>
    </xf>
    <xf numFmtId="0" fontId="5" fillId="0" borderId="0" xfId="0" applyFont="1" applyAlignment="1">
      <alignment/>
    </xf>
    <xf numFmtId="0" fontId="12" fillId="0" borderId="0" xfId="0" applyFont="1" applyAlignment="1">
      <alignment/>
    </xf>
    <xf numFmtId="0" fontId="12" fillId="0" borderId="9" xfId="0" applyFont="1" applyAlignment="1">
      <alignment/>
    </xf>
    <xf numFmtId="0" fontId="12" fillId="0" borderId="6" xfId="0" applyFont="1" applyAlignment="1">
      <alignment/>
    </xf>
    <xf numFmtId="0" fontId="0" fillId="0" borderId="0" xfId="0" applyFont="1" applyAlignment="1">
      <alignment horizontal="left"/>
    </xf>
    <xf numFmtId="0" fontId="13" fillId="9" borderId="8" xfId="0" applyFont="1" applyFill="1" applyAlignment="1">
      <alignment horizontal="centerContinuous" vertical="center"/>
    </xf>
    <xf numFmtId="0" fontId="19" fillId="8" borderId="6" xfId="0" applyFont="1" applyFill="1" applyAlignment="1">
      <alignment horizontal="centerContinuous" vertical="center"/>
    </xf>
    <xf numFmtId="0" fontId="14" fillId="2" borderId="8" xfId="0" applyFont="1" applyFill="1" applyAlignment="1">
      <alignment horizontal="left" vertical="top"/>
    </xf>
    <xf numFmtId="0" fontId="6" fillId="0" borderId="6" xfId="0" applyFont="1" applyAlignment="1">
      <alignment horizontal="left"/>
    </xf>
    <xf numFmtId="0" fontId="6" fillId="0" borderId="6" xfId="0" applyFont="1" applyAlignment="1">
      <alignment/>
    </xf>
    <xf numFmtId="0" fontId="6" fillId="0" borderId="0" xfId="0" applyFont="1" applyAlignment="1">
      <alignment horizontal="left"/>
    </xf>
    <xf numFmtId="0" fontId="14" fillId="8" borderId="8" xfId="0" applyFont="1" applyFill="1" applyAlignment="1">
      <alignment horizontal="center" vertical="center"/>
    </xf>
    <xf numFmtId="0" fontId="14" fillId="8" borderId="8" xfId="0" applyFont="1" applyFill="1" applyAlignment="1">
      <alignment horizontal="left" vertical="center"/>
    </xf>
    <xf numFmtId="0" fontId="6" fillId="0" borderId="8" xfId="0" applyFont="1" applyAlignment="1">
      <alignment/>
    </xf>
    <xf numFmtId="0" fontId="20" fillId="0" borderId="8" xfId="0" applyFont="1" applyAlignment="1">
      <alignment vertical="center"/>
    </xf>
    <xf numFmtId="0" fontId="6" fillId="0" borderId="8" xfId="0" applyFont="1" applyAlignment="1">
      <alignment vertical="center"/>
    </xf>
    <xf numFmtId="0" fontId="20" fillId="0" borderId="8" xfId="0" applyFont="1" applyAlignment="1">
      <alignment horizontal="center" vertical="center"/>
    </xf>
    <xf numFmtId="0" fontId="0" fillId="0" borderId="0" xfId="0" applyAlignment="1">
      <alignment/>
    </xf>
    <xf numFmtId="0" fontId="14" fillId="8" borderId="8" xfId="0" applyFont="1" applyFill="1" applyAlignment="1">
      <alignment horizontal="centerContinuous" vertical="center"/>
    </xf>
    <xf numFmtId="0" fontId="6" fillId="0" borderId="8" xfId="0" applyFont="1" applyAlignment="1">
      <alignment horizontal="left" vertical="center"/>
    </xf>
    <xf numFmtId="0" fontId="6" fillId="0" borderId="8" xfId="0" applyFont="1" applyAlignment="1">
      <alignment/>
    </xf>
    <xf numFmtId="0" fontId="6" fillId="0" borderId="6" xfId="0" applyFont="1" applyAlignment="1">
      <alignment/>
    </xf>
    <xf numFmtId="0" fontId="6" fillId="0" borderId="6" xfId="0" applyFont="1" applyAlignment="1">
      <alignment horizontal="left"/>
    </xf>
    <xf numFmtId="0" fontId="14" fillId="0" borderId="8" xfId="0" applyFont="1" applyAlignment="1">
      <alignment horizontal="left" vertical="center"/>
    </xf>
    <xf numFmtId="0" fontId="6" fillId="0" borderId="8" xfId="0" applyFont="1" applyAlignment="1">
      <alignment horizontal="center" vertical="center"/>
    </xf>
    <xf numFmtId="0" fontId="0" fillId="0" borderId="6" xfId="0" applyFont="1" applyAlignment="1">
      <alignment horizontal="left"/>
    </xf>
    <xf numFmtId="1" fontId="17" fillId="0" borderId="30" xfId="0" applyNumberFormat="1" applyFont="1" applyBorder="1" applyAlignment="1">
      <alignment horizontal="center" vertical="center"/>
    </xf>
    <xf numFmtId="1" fontId="17" fillId="0" borderId="31" xfId="0" applyNumberFormat="1" applyFont="1" applyBorder="1" applyAlignment="1">
      <alignment horizontal="center" vertical="center"/>
    </xf>
    <xf numFmtId="1" fontId="17" fillId="0" borderId="32" xfId="0" applyNumberFormat="1" applyFont="1" applyBorder="1" applyAlignment="1">
      <alignment horizontal="center" vertical="center"/>
    </xf>
    <xf numFmtId="0" fontId="16" fillId="0" borderId="9" xfId="0" applyNumberFormat="1" applyFont="1" applyBorder="1" applyAlignment="1">
      <alignment/>
    </xf>
    <xf numFmtId="175" fontId="8" fillId="10" borderId="33" xfId="0" applyNumberFormat="1" applyFont="1" applyFill="1" applyBorder="1" applyAlignment="1">
      <alignment horizontal="center" vertical="center"/>
    </xf>
    <xf numFmtId="175" fontId="4" fillId="10" borderId="33" xfId="0" applyNumberFormat="1" applyFont="1" applyFill="1" applyBorder="1" applyAlignment="1">
      <alignment horizontal="center" vertical="center"/>
    </xf>
    <xf numFmtId="0" fontId="6" fillId="2" borderId="13" xfId="0" applyNumberFormat="1" applyFont="1" applyFill="1" applyAlignment="1">
      <alignment horizontal="center" vertical="center"/>
    </xf>
    <xf numFmtId="0" fontId="6" fillId="2" borderId="6" xfId="0" applyNumberFormat="1" applyFont="1" applyFill="1" applyBorder="1" applyAlignment="1">
      <alignment horizontal="center" vertical="center"/>
    </xf>
    <xf numFmtId="0" fontId="11" fillId="2" borderId="0" xfId="0" applyNumberFormat="1" applyFont="1" applyFill="1" applyBorder="1" applyAlignment="1">
      <alignment horizontal="center" vertical="center"/>
    </xf>
    <xf numFmtId="0" fontId="6" fillId="2" borderId="34" xfId="0" applyNumberFormat="1" applyFont="1" applyFill="1" applyBorder="1" applyAlignment="1">
      <alignment horizontal="center" vertical="center"/>
    </xf>
    <xf numFmtId="0" fontId="6" fillId="2" borderId="35" xfId="0" applyNumberFormat="1" applyFont="1" applyFill="1" applyBorder="1" applyAlignment="1">
      <alignment horizontal="center" vertical="center"/>
    </xf>
    <xf numFmtId="0" fontId="6" fillId="2" borderId="36" xfId="0" applyNumberFormat="1" applyFont="1" applyFill="1" applyBorder="1" applyAlignment="1">
      <alignment horizontal="center" vertical="center"/>
    </xf>
    <xf numFmtId="0" fontId="11" fillId="2" borderId="37" xfId="0" applyNumberFormat="1" applyFont="1" applyFill="1" applyBorder="1" applyAlignment="1">
      <alignment horizontal="center" vertical="center"/>
    </xf>
    <xf numFmtId="1" fontId="14" fillId="0" borderId="8" xfId="0" applyNumberFormat="1" applyFont="1" applyFill="1" applyAlignment="1">
      <alignment horizontal="center" vertical="center"/>
    </xf>
    <xf numFmtId="0" fontId="14" fillId="0" borderId="8" xfId="0" applyNumberFormat="1" applyFont="1" applyAlignment="1">
      <alignment horizontal="right" vertical="center"/>
    </xf>
    <xf numFmtId="0" fontId="6" fillId="0" borderId="8" xfId="0" applyNumberFormat="1" applyFont="1" applyBorder="1" applyAlignment="1">
      <alignment horizontal="center"/>
    </xf>
    <xf numFmtId="0" fontId="14" fillId="0" borderId="8" xfId="0" applyNumberFormat="1" applyFont="1" applyFill="1" applyBorder="1" applyAlignment="1">
      <alignment horizontal="center" vertical="center"/>
    </xf>
    <xf numFmtId="173" fontId="6" fillId="0" borderId="8" xfId="0" applyNumberFormat="1" applyFont="1" applyBorder="1" applyAlignment="1">
      <alignment horizontal="center"/>
    </xf>
    <xf numFmtId="173" fontId="14" fillId="0" borderId="8" xfId="0" applyNumberFormat="1" applyFont="1" applyFill="1" applyBorder="1" applyAlignment="1">
      <alignment horizontal="center" vertical="center"/>
    </xf>
    <xf numFmtId="0" fontId="6" fillId="0" borderId="8" xfId="0" applyNumberFormat="1" applyFont="1" applyBorder="1" applyAlignment="1">
      <alignment/>
    </xf>
    <xf numFmtId="0" fontId="14" fillId="8" borderId="9" xfId="0" applyNumberFormat="1" applyFont="1" applyFill="1" applyBorder="1" applyAlignment="1">
      <alignment horizontal="centerContinuous"/>
    </xf>
    <xf numFmtId="173" fontId="6" fillId="0" borderId="8" xfId="0" applyNumberFormat="1" applyFont="1" applyFill="1" applyBorder="1" applyAlignment="1">
      <alignment horizontal="center" vertical="center"/>
    </xf>
    <xf numFmtId="173" fontId="6" fillId="8" borderId="6" xfId="0" applyNumberFormat="1" applyFont="1" applyFill="1" applyBorder="1" applyAlignment="1">
      <alignment horizontal="centerContinuous"/>
    </xf>
    <xf numFmtId="173" fontId="6" fillId="8" borderId="0" xfId="0" applyNumberFormat="1" applyFont="1" applyFill="1" applyBorder="1" applyAlignment="1">
      <alignment horizontal="centerContinuous"/>
    </xf>
    <xf numFmtId="0" fontId="6" fillId="0" borderId="8" xfId="0" applyNumberFormat="1" applyFont="1" applyFill="1" applyBorder="1" applyAlignment="1">
      <alignment horizontal="center" vertical="center"/>
    </xf>
    <xf numFmtId="0" fontId="6" fillId="8" borderId="6" xfId="0" applyNumberFormat="1" applyFont="1" applyFill="1" applyBorder="1" applyAlignment="1">
      <alignment horizontal="centerContinuous"/>
    </xf>
    <xf numFmtId="0" fontId="6" fillId="8" borderId="0" xfId="0" applyNumberFormat="1" applyFont="1" applyFill="1" applyBorder="1" applyAlignment="1">
      <alignment horizontal="centerContinuous"/>
    </xf>
    <xf numFmtId="0" fontId="6" fillId="0" borderId="0" xfId="0" applyNumberFormat="1" applyFont="1" applyBorder="1" applyAlignment="1">
      <alignment/>
    </xf>
    <xf numFmtId="0" fontId="6" fillId="0" borderId="0" xfId="0" applyNumberFormat="1" applyFont="1" applyBorder="1" applyAlignment="1">
      <alignment horizontal="center"/>
    </xf>
    <xf numFmtId="173" fontId="6" fillId="0" borderId="0" xfId="0" applyNumberFormat="1" applyFont="1" applyBorder="1" applyAlignment="1">
      <alignment horizontal="center"/>
    </xf>
    <xf numFmtId="0" fontId="6" fillId="0" borderId="38" xfId="0" applyNumberFormat="1" applyFont="1" applyBorder="1" applyAlignment="1">
      <alignment horizontal="center"/>
    </xf>
    <xf numFmtId="173" fontId="6" fillId="0" borderId="38" xfId="0" applyNumberFormat="1" applyFont="1" applyBorder="1" applyAlignment="1">
      <alignment horizontal="center"/>
    </xf>
    <xf numFmtId="0" fontId="6" fillId="0" borderId="38" xfId="0" applyNumberFormat="1" applyFont="1" applyBorder="1" applyAlignment="1">
      <alignment/>
    </xf>
    <xf numFmtId="0" fontId="6" fillId="0" borderId="39" xfId="0" applyNumberFormat="1" applyFont="1" applyBorder="1" applyAlignment="1">
      <alignment/>
    </xf>
    <xf numFmtId="14" fontId="6" fillId="11" borderId="12" xfId="0" applyNumberFormat="1" applyFont="1" applyFill="1" applyAlignment="1">
      <alignment horizontal="centerContinuous" vertical="center"/>
    </xf>
    <xf numFmtId="0" fontId="6" fillId="11" borderId="13" xfId="0" applyNumberFormat="1" applyFont="1" applyFill="1" applyAlignment="1">
      <alignment horizontal="centerContinuous" vertical="center"/>
    </xf>
    <xf numFmtId="0" fontId="6" fillId="11" borderId="8" xfId="0" applyNumberFormat="1" applyFont="1" applyFill="1" applyAlignment="1">
      <alignment horizontal="centerContinuous" vertical="center"/>
    </xf>
    <xf numFmtId="0" fontId="6" fillId="11" borderId="6" xfId="0" applyNumberFormat="1" applyFont="1" applyFill="1" applyAlignment="1">
      <alignment horizontal="centerContinuous" vertical="center"/>
    </xf>
    <xf numFmtId="0" fontId="14" fillId="11" borderId="8" xfId="0" applyNumberFormat="1" applyFont="1" applyFill="1" applyAlignment="1">
      <alignment horizontal="center" vertical="center"/>
    </xf>
    <xf numFmtId="0" fontId="6" fillId="12" borderId="8" xfId="0" applyNumberFormat="1" applyFont="1" applyFill="1" applyAlignment="1">
      <alignment horizontal="center" vertical="center"/>
    </xf>
    <xf numFmtId="0" fontId="6" fillId="11" borderId="8" xfId="0" applyNumberFormat="1" applyFont="1" applyFill="1" applyAlignment="1">
      <alignment horizontal="center"/>
    </xf>
    <xf numFmtId="1" fontId="6" fillId="13" borderId="8" xfId="0" applyNumberFormat="1" applyFont="1" applyFill="1" applyAlignment="1">
      <alignment horizontal="center"/>
    </xf>
    <xf numFmtId="0" fontId="6" fillId="12" borderId="12" xfId="0" applyNumberFormat="1" applyFont="1" applyFill="1" applyAlignment="1">
      <alignment horizontal="center"/>
    </xf>
    <xf numFmtId="1" fontId="6" fillId="11" borderId="8" xfId="0" applyNumberFormat="1" applyFont="1" applyFill="1" applyAlignment="1" applyProtection="1">
      <alignment horizontal="center"/>
      <protection locked="0"/>
    </xf>
    <xf numFmtId="0" fontId="9" fillId="12" borderId="17" xfId="0" applyNumberFormat="1" applyFont="1" applyFill="1" applyBorder="1" applyAlignment="1">
      <alignment horizontal="center" vertical="center"/>
    </xf>
    <xf numFmtId="0" fontId="9" fillId="12" borderId="16" xfId="0" applyNumberFormat="1" applyFont="1" applyFill="1" applyAlignment="1">
      <alignment horizontal="center" vertical="center"/>
    </xf>
    <xf numFmtId="0" fontId="9" fillId="12" borderId="8" xfId="0" applyNumberFormat="1" applyFont="1" applyFill="1" applyAlignment="1">
      <alignment horizontal="center" vertical="center"/>
    </xf>
    <xf numFmtId="0" fontId="9" fillId="0" borderId="17" xfId="0" applyNumberFormat="1" applyFont="1" applyFill="1" applyBorder="1" applyAlignment="1">
      <alignment horizontal="left" vertical="center"/>
    </xf>
    <xf numFmtId="0" fontId="9" fillId="0" borderId="40" xfId="0" applyNumberFormat="1" applyFont="1" applyFill="1" applyBorder="1" applyAlignment="1">
      <alignment horizontal="left" vertical="center"/>
    </xf>
    <xf numFmtId="0" fontId="4" fillId="0" borderId="40" xfId="0" applyNumberFormat="1" applyFont="1" applyFill="1" applyBorder="1" applyAlignment="1">
      <alignment horizontal="left" vertical="center"/>
    </xf>
    <xf numFmtId="0" fontId="9" fillId="0" borderId="16" xfId="0" applyNumberFormat="1" applyFont="1" applyFill="1" applyAlignment="1">
      <alignment horizontal="left" vertical="center"/>
    </xf>
    <xf numFmtId="0" fontId="9" fillId="0" borderId="41" xfId="0" applyNumberFormat="1" applyFont="1" applyFill="1" applyAlignment="1">
      <alignment horizontal="left" vertical="center"/>
    </xf>
    <xf numFmtId="0" fontId="4" fillId="0" borderId="41" xfId="0" applyNumberFormat="1" applyFont="1" applyFill="1" applyAlignment="1">
      <alignment horizontal="left" vertical="center"/>
    </xf>
    <xf numFmtId="0" fontId="9" fillId="0" borderId="8" xfId="0" applyNumberFormat="1" applyFont="1" applyFill="1" applyAlignment="1">
      <alignment horizontal="left" vertical="center"/>
    </xf>
    <xf numFmtId="0" fontId="9" fillId="0" borderId="6" xfId="0" applyNumberFormat="1" applyFont="1" applyFill="1" applyAlignment="1">
      <alignment horizontal="left" vertical="center"/>
    </xf>
    <xf numFmtId="0" fontId="4" fillId="0" borderId="6" xfId="0" applyNumberFormat="1" applyFont="1" applyFill="1" applyAlignment="1">
      <alignment horizontal="left" vertical="center"/>
    </xf>
    <xf numFmtId="0" fontId="9" fillId="0" borderId="41" xfId="0" applyNumberFormat="1" applyFont="1" applyFill="1" applyAlignment="1">
      <alignment horizontal="left" vertical="center"/>
    </xf>
    <xf numFmtId="0" fontId="4" fillId="0" borderId="41" xfId="0" applyNumberFormat="1" applyFont="1" applyFill="1" applyAlignment="1">
      <alignment horizontal="left" vertical="center"/>
    </xf>
    <xf numFmtId="0" fontId="9" fillId="0" borderId="17"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9" fillId="0" borderId="16" xfId="0" applyNumberFormat="1" applyFont="1" applyFill="1" applyAlignment="1">
      <alignment horizontal="center" vertical="center"/>
    </xf>
    <xf numFmtId="0" fontId="9" fillId="0" borderId="8" xfId="0" applyNumberFormat="1" applyFont="1" applyFill="1" applyAlignment="1">
      <alignment horizontal="center" vertical="center"/>
    </xf>
    <xf numFmtId="0" fontId="6" fillId="12" borderId="8" xfId="0" applyNumberFormat="1" applyFont="1" applyFill="1" applyAlignment="1">
      <alignment horizontal="center"/>
    </xf>
  </cellXfs>
  <cellStyles count="2">
    <cellStyle name="Normal" xfId="0"/>
    <cellStyle name="Hyperlink"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47625</xdr:colOff>
      <xdr:row>59</xdr:row>
      <xdr:rowOff>228600</xdr:rowOff>
    </xdr:from>
    <xdr:to>
      <xdr:col>17</xdr:col>
      <xdr:colOff>514350</xdr:colOff>
      <xdr:row>68</xdr:row>
      <xdr:rowOff>200025</xdr:rowOff>
    </xdr:to>
    <xdr:pic>
      <xdr:nvPicPr>
        <xdr:cNvPr id="1" name="Picture 1"/>
        <xdr:cNvPicPr preferRelativeResize="1">
          <a:picLocks noChangeAspect="1"/>
        </xdr:cNvPicPr>
      </xdr:nvPicPr>
      <xdr:blipFill>
        <a:blip r:embed="rId1"/>
        <a:stretch>
          <a:fillRect/>
        </a:stretch>
      </xdr:blipFill>
      <xdr:spPr>
        <a:xfrm>
          <a:off x="7839075" y="17887950"/>
          <a:ext cx="2533650" cy="2352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M25"/>
  <sheetViews>
    <sheetView showGridLines="0" showOutlineSymbols="0" zoomScale="60" zoomScaleNormal="60" workbookViewId="0" topLeftCell="A1">
      <selection activeCell="T10" sqref="T10"/>
    </sheetView>
  </sheetViews>
  <sheetFormatPr defaultColWidth="9.6640625" defaultRowHeight="15"/>
  <cols>
    <col min="1" max="16384" width="9.6640625" style="1" customWidth="1"/>
  </cols>
  <sheetData>
    <row r="1" ht="21" customHeight="1"/>
    <row r="2" spans="2:13" ht="21" customHeight="1">
      <c r="B2" s="2"/>
      <c r="C2" s="2"/>
      <c r="D2" s="2"/>
      <c r="E2" s="2"/>
      <c r="F2" s="2"/>
      <c r="G2" s="2"/>
      <c r="H2" s="2"/>
      <c r="I2" s="2"/>
      <c r="J2" s="2"/>
      <c r="K2" s="2"/>
      <c r="L2" s="2"/>
      <c r="M2" s="2"/>
    </row>
    <row r="3" spans="1:13" ht="21" customHeight="1">
      <c r="A3" s="2"/>
      <c r="B3" s="2"/>
      <c r="C3" s="2"/>
      <c r="D3" s="2"/>
      <c r="E3" s="2"/>
      <c r="F3" s="2"/>
      <c r="G3" s="2"/>
      <c r="H3" s="2"/>
      <c r="I3" s="2"/>
      <c r="J3" s="2"/>
      <c r="K3" s="2"/>
      <c r="L3" s="2"/>
      <c r="M3" s="2"/>
    </row>
    <row r="4" spans="2:13" ht="21" customHeight="1">
      <c r="B4" s="2"/>
      <c r="C4" s="2"/>
      <c r="D4" s="2"/>
      <c r="E4" s="2"/>
      <c r="F4" s="2"/>
      <c r="G4" s="2"/>
      <c r="H4" s="2"/>
      <c r="I4" s="2"/>
      <c r="J4" s="2"/>
      <c r="K4" s="2"/>
      <c r="L4" s="2"/>
      <c r="M4" s="2"/>
    </row>
    <row r="5" spans="1:13" ht="21" customHeight="1">
      <c r="A5" s="2"/>
      <c r="B5" s="2"/>
      <c r="C5" s="2"/>
      <c r="D5" s="2"/>
      <c r="E5" s="2"/>
      <c r="F5" s="2"/>
      <c r="G5" s="2"/>
      <c r="H5" s="2"/>
      <c r="I5" s="2"/>
      <c r="J5" s="2"/>
      <c r="K5" s="2"/>
      <c r="L5" s="2"/>
      <c r="M5" s="2"/>
    </row>
    <row r="6" spans="1:13" ht="21" customHeight="1">
      <c r="A6" s="2" t="s">
        <v>0</v>
      </c>
      <c r="B6" s="2"/>
      <c r="C6" s="2"/>
      <c r="D6" s="2"/>
      <c r="E6" s="2"/>
      <c r="F6" s="2"/>
      <c r="G6" s="2"/>
      <c r="H6" s="2"/>
      <c r="I6" s="2"/>
      <c r="J6" s="2"/>
      <c r="K6" s="2"/>
      <c r="L6" s="2"/>
      <c r="M6" s="2"/>
    </row>
    <row r="7" spans="1:13" ht="21" customHeight="1">
      <c r="A7" s="2"/>
      <c r="B7" s="2"/>
      <c r="C7" s="2"/>
      <c r="D7" s="2"/>
      <c r="E7" s="2"/>
      <c r="F7" s="2"/>
      <c r="G7" s="2"/>
      <c r="H7" s="2"/>
      <c r="I7" s="2"/>
      <c r="J7" s="2"/>
      <c r="K7" s="2"/>
      <c r="L7" s="2"/>
      <c r="M7" s="2"/>
    </row>
    <row r="8" spans="1:13" ht="21" customHeight="1">
      <c r="A8" s="2"/>
      <c r="B8" s="2"/>
      <c r="C8" s="2"/>
      <c r="D8" s="2"/>
      <c r="E8" s="2"/>
      <c r="F8" s="2"/>
      <c r="G8" s="2"/>
      <c r="H8" s="2"/>
      <c r="I8" s="2"/>
      <c r="J8" s="2"/>
      <c r="K8" s="2"/>
      <c r="L8" s="2"/>
      <c r="M8" s="2"/>
    </row>
    <row r="9" spans="1:13" ht="21" customHeight="1">
      <c r="A9" s="2"/>
      <c r="B9" s="2"/>
      <c r="C9" s="2"/>
      <c r="D9" s="2"/>
      <c r="E9" s="2"/>
      <c r="F9" s="2"/>
      <c r="G9" s="2"/>
      <c r="H9" s="2"/>
      <c r="I9" s="2"/>
      <c r="J9" s="2"/>
      <c r="K9" s="2"/>
      <c r="L9" s="2"/>
      <c r="M9" s="2"/>
    </row>
    <row r="10" spans="1:13" ht="21" customHeight="1">
      <c r="A10" s="2"/>
      <c r="B10" s="2"/>
      <c r="C10" s="2"/>
      <c r="D10" s="2"/>
      <c r="E10" s="2"/>
      <c r="F10" s="2"/>
      <c r="G10" s="2"/>
      <c r="H10" s="2"/>
      <c r="I10" s="2"/>
      <c r="J10" s="2"/>
      <c r="K10" s="2"/>
      <c r="L10" s="2"/>
      <c r="M10" s="2"/>
    </row>
    <row r="11" spans="1:13" ht="21" customHeight="1">
      <c r="A11" s="2"/>
      <c r="B11" s="2"/>
      <c r="C11" s="2"/>
      <c r="D11" s="2"/>
      <c r="E11" s="2"/>
      <c r="F11" s="2"/>
      <c r="G11" s="2"/>
      <c r="H11" s="2"/>
      <c r="I11" s="2"/>
      <c r="J11" s="2"/>
      <c r="K11" s="2"/>
      <c r="L11" s="2"/>
      <c r="M11" s="2"/>
    </row>
    <row r="12" spans="1:13" ht="21" customHeight="1">
      <c r="A12" s="2"/>
      <c r="B12" s="2"/>
      <c r="C12" s="2"/>
      <c r="D12" s="2"/>
      <c r="E12" s="2"/>
      <c r="F12" s="2"/>
      <c r="G12" s="2"/>
      <c r="H12" s="2"/>
      <c r="I12" s="2"/>
      <c r="J12" s="2"/>
      <c r="K12" s="2"/>
      <c r="L12" s="2"/>
      <c r="M12" s="2"/>
    </row>
    <row r="13" spans="1:13" ht="21" customHeight="1">
      <c r="A13" s="2"/>
      <c r="B13" s="2"/>
      <c r="C13" s="2"/>
      <c r="D13" s="2"/>
      <c r="E13" s="2"/>
      <c r="F13" s="2"/>
      <c r="G13" s="2"/>
      <c r="H13" s="2"/>
      <c r="I13" s="2"/>
      <c r="J13" s="2"/>
      <c r="K13" s="2"/>
      <c r="L13" s="2"/>
      <c r="M13" s="2"/>
    </row>
    <row r="14" spans="1:13" ht="21" customHeight="1">
      <c r="A14" s="2"/>
      <c r="B14" s="2"/>
      <c r="C14" s="2"/>
      <c r="D14" s="2"/>
      <c r="E14" s="2"/>
      <c r="F14" s="2"/>
      <c r="G14" s="2"/>
      <c r="H14" s="2"/>
      <c r="I14" s="2"/>
      <c r="J14" s="2"/>
      <c r="K14" s="2"/>
      <c r="L14" s="2"/>
      <c r="M14" s="2"/>
    </row>
    <row r="15" spans="1:13" ht="21" customHeight="1">
      <c r="A15" s="2"/>
      <c r="B15" s="2"/>
      <c r="C15" s="2"/>
      <c r="D15" s="2"/>
      <c r="E15" s="2"/>
      <c r="F15" s="2"/>
      <c r="G15" s="2"/>
      <c r="H15" s="2"/>
      <c r="I15" s="2"/>
      <c r="J15" s="2"/>
      <c r="K15" s="2"/>
      <c r="L15" s="2"/>
      <c r="M15" s="2"/>
    </row>
    <row r="16" spans="1:13" ht="21" customHeight="1">
      <c r="A16" s="2"/>
      <c r="B16" s="2"/>
      <c r="C16" s="2"/>
      <c r="D16" s="2"/>
      <c r="E16" s="2"/>
      <c r="F16" s="2"/>
      <c r="G16" s="2"/>
      <c r="H16" s="2"/>
      <c r="I16" s="2"/>
      <c r="J16" s="2"/>
      <c r="K16" s="2"/>
      <c r="L16" s="2"/>
      <c r="M16" s="2"/>
    </row>
    <row r="17" spans="1:13" ht="21" customHeight="1">
      <c r="A17" s="2"/>
      <c r="B17" s="2"/>
      <c r="C17" s="2"/>
      <c r="D17" s="2"/>
      <c r="E17" s="2"/>
      <c r="F17" s="2"/>
      <c r="G17" s="2"/>
      <c r="H17" s="2"/>
      <c r="I17" s="2"/>
      <c r="J17" s="2"/>
      <c r="K17" s="2"/>
      <c r="L17" s="2"/>
      <c r="M17" s="2"/>
    </row>
    <row r="18" spans="1:13" ht="21" customHeight="1">
      <c r="A18" s="2"/>
      <c r="B18" s="2"/>
      <c r="C18" s="2"/>
      <c r="D18" s="2"/>
      <c r="E18" s="2"/>
      <c r="F18" s="2"/>
      <c r="G18" s="2"/>
      <c r="H18" s="2"/>
      <c r="I18" s="2"/>
      <c r="J18" s="2"/>
      <c r="K18" s="2"/>
      <c r="L18" s="2"/>
      <c r="M18" s="2"/>
    </row>
    <row r="19" spans="1:13" ht="21" customHeight="1">
      <c r="A19" s="2"/>
      <c r="B19" s="2"/>
      <c r="C19" s="2"/>
      <c r="D19" s="2"/>
      <c r="E19" s="2"/>
      <c r="F19" s="2"/>
      <c r="G19" s="2"/>
      <c r="H19" s="2"/>
      <c r="I19" s="2"/>
      <c r="J19" s="2"/>
      <c r="K19" s="2"/>
      <c r="L19" s="2"/>
      <c r="M19" s="2"/>
    </row>
    <row r="20" spans="1:13" ht="21" customHeight="1">
      <c r="A20" s="2"/>
      <c r="B20" s="2"/>
      <c r="C20" s="2"/>
      <c r="D20" s="2"/>
      <c r="E20" s="2"/>
      <c r="F20" s="2"/>
      <c r="G20" s="2"/>
      <c r="H20" s="2"/>
      <c r="I20" s="2"/>
      <c r="J20" s="2"/>
      <c r="K20" s="2"/>
      <c r="L20" s="2"/>
      <c r="M20" s="2"/>
    </row>
    <row r="21" spans="1:10" ht="21" customHeight="1">
      <c r="A21" s="3"/>
      <c r="B21" s="3"/>
      <c r="C21" s="3"/>
      <c r="D21" s="3"/>
      <c r="E21" s="3"/>
      <c r="F21" s="3"/>
      <c r="G21" s="3"/>
      <c r="H21" s="3"/>
      <c r="I21" s="3"/>
      <c r="J21" s="3"/>
    </row>
    <row r="22" spans="1:10" ht="21" customHeight="1">
      <c r="A22" s="3"/>
      <c r="B22" s="3"/>
      <c r="C22" s="3"/>
      <c r="D22" s="3"/>
      <c r="E22" s="3"/>
      <c r="F22" s="3"/>
      <c r="G22" s="3"/>
      <c r="H22" s="3"/>
      <c r="I22" s="3"/>
      <c r="J22" s="3"/>
    </row>
    <row r="23" spans="1:10" ht="21" customHeight="1">
      <c r="A23" s="3"/>
      <c r="B23" s="3"/>
      <c r="C23" s="3"/>
      <c r="D23" s="3"/>
      <c r="E23" s="3"/>
      <c r="F23" s="3"/>
      <c r="G23" s="3"/>
      <c r="H23" s="3"/>
      <c r="I23" s="3"/>
      <c r="J23" s="3"/>
    </row>
    <row r="24" spans="1:10" ht="21" customHeight="1">
      <c r="A24" s="3"/>
      <c r="B24" s="3"/>
      <c r="C24" s="3"/>
      <c r="D24" s="3"/>
      <c r="E24" s="3"/>
      <c r="F24" s="3"/>
      <c r="G24" s="3"/>
      <c r="H24" s="3"/>
      <c r="I24" s="3"/>
      <c r="J24" s="3"/>
    </row>
    <row r="25" spans="1:10" ht="21" customHeight="1">
      <c r="A25" s="3"/>
      <c r="B25" s="3"/>
      <c r="C25" s="3"/>
      <c r="D25" s="3"/>
      <c r="E25" s="3"/>
      <c r="F25" s="3"/>
      <c r="G25" s="3"/>
      <c r="H25" s="3"/>
      <c r="I25" s="3"/>
      <c r="J25" s="3"/>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sheetProtection sheet="1"/>
  <printOptions horizontalCentered="1"/>
  <pageMargins left="0.5902777777777778" right="0.3541666666666667" top="0.19652777777777777" bottom="0.19791666666666666" header="0" footer="0"/>
  <pageSetup horizontalDpi="600" verticalDpi="600" orientation="landscape" paperSize="9" scale="62" r:id="rId3"/>
  <legacyDrawing r:id="rId2"/>
</worksheet>
</file>

<file path=xl/worksheets/sheet2.xml><?xml version="1.0" encoding="utf-8"?>
<worksheet xmlns="http://schemas.openxmlformats.org/spreadsheetml/2006/main" xmlns:r="http://schemas.openxmlformats.org/officeDocument/2006/relationships">
  <dimension ref="A1:IJ75"/>
  <sheetViews>
    <sheetView showGridLines="0" tabSelected="1" showOutlineSymbols="0" workbookViewId="0" topLeftCell="A1">
      <selection activeCell="E15" sqref="E15"/>
    </sheetView>
  </sheetViews>
  <sheetFormatPr defaultColWidth="8.88671875" defaultRowHeight="15"/>
  <cols>
    <col min="1" max="1" width="1.66796875" style="1" customWidth="1"/>
    <col min="2" max="11" width="7.6640625" style="1" customWidth="1"/>
    <col min="12" max="12" width="7.77734375" style="1" customWidth="1"/>
    <col min="13" max="13" width="2.3359375" style="1" customWidth="1"/>
    <col min="14" max="14" width="2.4453125" style="1" customWidth="1"/>
    <col min="15" max="15" width="8.77734375" style="1" customWidth="1"/>
    <col min="16" max="25" width="7.6640625" style="1" customWidth="1"/>
    <col min="26" max="26" width="1.66796875" style="1" customWidth="1"/>
    <col min="27" max="27" width="2.6640625" style="1" customWidth="1"/>
    <col min="28" max="244" width="7.6640625" style="1" customWidth="1"/>
    <col min="245" max="16384" width="9.6640625" style="1" customWidth="1"/>
  </cols>
  <sheetData>
    <row r="1" spans="1:28" ht="3.75" customHeight="1">
      <c r="A1" s="4"/>
      <c r="B1" s="4"/>
      <c r="C1" s="4"/>
      <c r="D1" s="4"/>
      <c r="E1" s="4"/>
      <c r="F1" s="4"/>
      <c r="G1" s="4"/>
      <c r="H1" s="4"/>
      <c r="I1" s="4"/>
      <c r="J1" s="4"/>
      <c r="K1" s="4"/>
      <c r="L1" s="4"/>
      <c r="M1" s="4"/>
      <c r="N1" s="4"/>
      <c r="O1" s="4"/>
      <c r="P1" s="4"/>
      <c r="Q1" s="4"/>
      <c r="R1" s="4"/>
      <c r="S1" s="4"/>
      <c r="T1" s="4"/>
      <c r="U1" s="4"/>
      <c r="V1" s="4"/>
      <c r="W1" s="4"/>
      <c r="X1" s="4"/>
      <c r="Y1" s="4"/>
      <c r="Z1" s="4"/>
      <c r="AA1" s="4"/>
      <c r="AB1" s="5"/>
    </row>
    <row r="2" spans="1:243" ht="28.5" customHeight="1">
      <c r="A2" s="6"/>
      <c r="B2" s="7" t="s">
        <v>135</v>
      </c>
      <c r="C2" s="8"/>
      <c r="D2" s="8"/>
      <c r="E2" s="8"/>
      <c r="F2" s="9"/>
      <c r="G2" s="8"/>
      <c r="H2" s="8"/>
      <c r="I2" s="8"/>
      <c r="J2" s="8"/>
      <c r="K2" s="8"/>
      <c r="L2" s="8"/>
      <c r="M2" s="10"/>
      <c r="N2" s="11"/>
      <c r="O2" s="12" t="str">
        <f>IF(ISBLANK(FLYET)," ","OY-"&amp;FLYET)</f>
        <v> </v>
      </c>
      <c r="P2" s="13"/>
      <c r="Q2" s="14"/>
      <c r="R2" s="14"/>
      <c r="S2" s="14"/>
      <c r="T2" s="15"/>
      <c r="U2" s="15"/>
      <c r="V2" s="15"/>
      <c r="W2" s="15"/>
      <c r="X2" s="15"/>
      <c r="Y2" s="16" t="str">
        <f>IF(ISBLANK(D6)," ",D6)&amp;IF(ISBLANK(D7)," "," - "&amp;D7)</f>
        <v>  </v>
      </c>
      <c r="Z2" s="17"/>
      <c r="AA2" s="18"/>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row>
    <row r="3" spans="1:243" ht="9.75" customHeight="1">
      <c r="A3" s="20"/>
      <c r="B3" s="21"/>
      <c r="C3" s="22"/>
      <c r="D3" s="22"/>
      <c r="E3" s="22"/>
      <c r="F3" s="22"/>
      <c r="G3" s="22"/>
      <c r="H3" s="22"/>
      <c r="I3" s="22"/>
      <c r="J3" s="22"/>
      <c r="K3" s="22"/>
      <c r="L3" s="22"/>
      <c r="M3" s="23"/>
      <c r="N3" s="24"/>
      <c r="O3" s="22"/>
      <c r="P3" s="22"/>
      <c r="Q3" s="22"/>
      <c r="R3" s="22"/>
      <c r="S3" s="22"/>
      <c r="T3" s="22"/>
      <c r="U3" s="22"/>
      <c r="V3" s="22"/>
      <c r="W3" s="22"/>
      <c r="X3" s="22"/>
      <c r="Y3" s="22"/>
      <c r="Z3" s="22"/>
      <c r="AA3" s="25"/>
      <c r="AB3" s="5"/>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row>
    <row r="4" spans="1:243" ht="19.5" customHeight="1" thickBot="1">
      <c r="A4" s="27"/>
      <c r="B4" s="28" t="s">
        <v>136</v>
      </c>
      <c r="C4" s="29"/>
      <c r="D4" s="29"/>
      <c r="E4" s="29"/>
      <c r="F4" s="30"/>
      <c r="G4" s="336" t="s">
        <v>143</v>
      </c>
      <c r="H4" s="360"/>
      <c r="I4" s="31" t="s">
        <v>22</v>
      </c>
      <c r="J4" s="32">
        <f>IF(ISBLANK(FLYET),"",VLOOKUP(FLYET,FLY,14,FALSE))</f>
      </c>
      <c r="K4" s="31" t="s">
        <v>144</v>
      </c>
      <c r="L4" s="361"/>
      <c r="M4" s="33"/>
      <c r="N4" s="34"/>
      <c r="O4" s="35" t="s">
        <v>156</v>
      </c>
      <c r="P4" s="36"/>
      <c r="Q4" s="36"/>
      <c r="R4" s="37"/>
      <c r="S4" s="37"/>
      <c r="T4" s="29"/>
      <c r="U4" s="38"/>
      <c r="V4" s="38"/>
      <c r="W4" s="38"/>
      <c r="X4" s="39" t="s">
        <v>59</v>
      </c>
      <c r="Y4" s="40"/>
      <c r="Z4" s="41"/>
      <c r="AA4" s="25"/>
      <c r="AB4" s="42"/>
      <c r="AD4" s="43"/>
      <c r="AE4" s="44"/>
      <c r="AF4" s="44"/>
      <c r="AG4" s="43"/>
      <c r="AH4" s="43"/>
      <c r="AI4" s="43"/>
      <c r="AJ4" s="43"/>
      <c r="AK4" s="43"/>
      <c r="AL4" s="43"/>
      <c r="AM4" s="43"/>
      <c r="AN4" s="3"/>
      <c r="AO4" s="3"/>
      <c r="AP4" s="43"/>
      <c r="AQ4" s="43"/>
      <c r="AR4" s="44"/>
      <c r="AS4" s="43"/>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row>
    <row r="5" spans="1:243" ht="19.5" customHeight="1" thickBot="1" thickTop="1">
      <c r="A5" s="27"/>
      <c r="B5" s="45" t="s">
        <v>1</v>
      </c>
      <c r="C5" s="46"/>
      <c r="D5" s="356"/>
      <c r="E5" s="357"/>
      <c r="F5" s="30"/>
      <c r="G5" s="47"/>
      <c r="H5" s="47"/>
      <c r="I5" s="47"/>
      <c r="J5" s="47"/>
      <c r="K5" s="47"/>
      <c r="L5" s="47"/>
      <c r="M5" s="48"/>
      <c r="N5" s="49"/>
      <c r="O5" s="208" t="s">
        <v>33</v>
      </c>
      <c r="P5" s="208" t="s">
        <v>36</v>
      </c>
      <c r="Q5" s="208" t="s">
        <v>170</v>
      </c>
      <c r="R5" s="208" t="s">
        <v>40</v>
      </c>
      <c r="S5" s="208" t="s">
        <v>169</v>
      </c>
      <c r="T5" s="208" t="s">
        <v>45</v>
      </c>
      <c r="U5" s="208" t="s">
        <v>47</v>
      </c>
      <c r="V5" s="208" t="s">
        <v>49</v>
      </c>
      <c r="W5" s="209" t="s">
        <v>55</v>
      </c>
      <c r="X5" s="51" t="s">
        <v>60</v>
      </c>
      <c r="Y5" s="50" t="s">
        <v>65</v>
      </c>
      <c r="Z5" s="41"/>
      <c r="AA5" s="25"/>
      <c r="AB5" s="42"/>
      <c r="AC5" s="52"/>
      <c r="AD5" s="43"/>
      <c r="AE5" s="44"/>
      <c r="AF5" s="44"/>
      <c r="AG5" s="43"/>
      <c r="AH5" s="43"/>
      <c r="AI5" s="43"/>
      <c r="AJ5" s="43"/>
      <c r="AK5" s="43"/>
      <c r="AL5" s="43"/>
      <c r="AM5" s="43"/>
      <c r="AN5" s="3"/>
      <c r="AO5" s="3"/>
      <c r="AP5" s="43"/>
      <c r="AQ5" s="43"/>
      <c r="AR5" s="44"/>
      <c r="AS5" s="43"/>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row>
    <row r="6" spans="1:243" ht="19.5" customHeight="1" thickTop="1">
      <c r="A6" s="27"/>
      <c r="B6" s="53" t="s">
        <v>139</v>
      </c>
      <c r="C6" s="54"/>
      <c r="D6" s="358"/>
      <c r="E6" s="359"/>
      <c r="F6" s="30"/>
      <c r="G6" s="28" t="s">
        <v>145</v>
      </c>
      <c r="H6" s="29"/>
      <c r="I6" s="29"/>
      <c r="J6" s="29"/>
      <c r="K6" s="29"/>
      <c r="L6" s="29"/>
      <c r="M6" s="33"/>
      <c r="N6" s="49"/>
      <c r="O6" s="204">
        <f>IF(ISBLANK(D6),"",D6)</f>
      </c>
      <c r="P6" s="205" t="str">
        <f>IF(ISBLANK($D6)," ",IF(VLOOKUP($O6,AD,2,FALSE)&gt;0,VLOOKUP($O6,AD,2,FALSE)," "))</f>
        <v> </v>
      </c>
      <c r="Q6" s="205" t="str">
        <f>IF(ISBLANK($D6)," ",IF(VLOOKUP($O6,AD,3,FALSE)&gt;0,VLOOKUP($O6,AD,3,FALSE)," "))</f>
        <v> </v>
      </c>
      <c r="R6" s="205" t="str">
        <f>IF(ISBLANK($D6)," ",IF(VLOOKUP($O6,AD,4,FALSE)&gt;0,VLOOKUP($O6,AD,4,FALSE)," "))</f>
        <v> </v>
      </c>
      <c r="S6" s="205" t="str">
        <f>IF(ISBLANK($D6)," ",IF(VLOOKUP($O6,AD,5,FALSE)&gt;0,VLOOKUP($O6,AD,5,FALSE)," "))</f>
        <v> </v>
      </c>
      <c r="T6" s="205" t="str">
        <f>IF(ISBLANK($D6)," ",IF(VLOOKUP($O6,AD,6,FALSE)&gt;0,VLOOKUP($O6,AD,6,FALSE)," "))</f>
        <v> </v>
      </c>
      <c r="U6" s="205" t="str">
        <f>IF(ISBLANK($D6)," ",IF(VLOOKUP($O6,AD,7,FALSE)&gt;0,VLOOKUP($O6,AD,7,FALSE)," "))</f>
        <v> </v>
      </c>
      <c r="V6" s="206" t="str">
        <f>IF(ISBLANK($D6)," ",IF(VLOOKUP($O6,AD,8,FALSE)&gt;0,VLOOKUP($O6,AD,8,FALSE)," "))</f>
        <v> </v>
      </c>
      <c r="W6" s="207" t="str">
        <f>IF(ISBLANK($D6)," ",IF(VLOOKUP($O6,AD,9,FALSE)&gt;0,VLOOKUP($O6,AD,9,FALSE)," "))</f>
        <v> </v>
      </c>
      <c r="X6" s="57"/>
      <c r="Y6" s="56" t="str">
        <f>IF(ISBLANK($X6)," ",IF(VLOOKUP($X6,NAV,2,FALSE)&gt;0,VLOOKUP($X6,NAV,2,FALSE)," "))</f>
        <v> </v>
      </c>
      <c r="Z6" s="41"/>
      <c r="AA6" s="25"/>
      <c r="AB6" s="44"/>
      <c r="AC6" s="52"/>
      <c r="AD6" s="43"/>
      <c r="AE6" s="44"/>
      <c r="AF6" s="43"/>
      <c r="AG6" s="43"/>
      <c r="AH6" s="43"/>
      <c r="AI6" s="43"/>
      <c r="AJ6" s="43"/>
      <c r="AK6" s="43"/>
      <c r="AL6" s="43"/>
      <c r="AM6" s="43"/>
      <c r="AN6" s="3"/>
      <c r="AO6" s="3"/>
      <c r="AP6" s="43"/>
      <c r="AQ6" s="43"/>
      <c r="AR6" s="44"/>
      <c r="AS6" s="43"/>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row>
    <row r="7" spans="1:243" ht="19.5" customHeight="1" thickBot="1">
      <c r="A7" s="27"/>
      <c r="B7" s="53" t="s">
        <v>138</v>
      </c>
      <c r="C7" s="54"/>
      <c r="D7" s="358"/>
      <c r="E7" s="359"/>
      <c r="F7" s="30"/>
      <c r="G7" s="58" t="s">
        <v>18</v>
      </c>
      <c r="H7" s="59"/>
      <c r="I7" s="60" t="s">
        <v>23</v>
      </c>
      <c r="J7" s="60" t="s">
        <v>25</v>
      </c>
      <c r="K7" s="60" t="s">
        <v>27</v>
      </c>
      <c r="L7" s="60" t="s">
        <v>146</v>
      </c>
      <c r="M7" s="33"/>
      <c r="N7" s="49"/>
      <c r="O7" s="204">
        <f>IF(ISBLANK(D7),"",D7)</f>
      </c>
      <c r="P7" s="61" t="str">
        <f>IF(ISBLANK($D7)," ",IF(VLOOKUP($O7,AD,2,FALSE)&gt;0,VLOOKUP($O7,AD,2,FALSE)," "))</f>
        <v> </v>
      </c>
      <c r="Q7" s="61" t="str">
        <f>IF(ISBLANK($D7)," ",IF(VLOOKUP($O7,AD,3,FALSE)&gt;0,VLOOKUP($O7,AD,3,FALSE)," "))</f>
        <v> </v>
      </c>
      <c r="R7" s="61" t="str">
        <f>IF(ISBLANK($D7)," ",IF(VLOOKUP($O7,AD,4,FALSE)&gt;0,VLOOKUP($O7,AD,4,FALSE)," "))</f>
        <v> </v>
      </c>
      <c r="S7" s="61" t="str">
        <f>IF(ISBLANK($D7)," ",IF(VLOOKUP($O7,AD,5,FALSE)&gt;0,VLOOKUP($O7,AD,5,FALSE)," "))</f>
        <v> </v>
      </c>
      <c r="T7" s="61" t="str">
        <f>IF(ISBLANK($D7)," ",IF(VLOOKUP($O7,AD,6,FALSE)&gt;0,VLOOKUP($O7,AD,6,FALSE)," "))</f>
        <v> </v>
      </c>
      <c r="U7" s="61" t="str">
        <f>IF(ISBLANK($D7)," ",IF(VLOOKUP($O7,AD,7,FALSE)&gt;0,VLOOKUP($O7,AD,7,FALSE)," "))</f>
        <v> </v>
      </c>
      <c r="V7" s="62" t="str">
        <f>IF(ISBLANK($D7)," ",IF(VLOOKUP($O7,AD,8,FALSE)&gt;0,VLOOKUP($O7,AD,8,FALSE)," "))</f>
        <v> </v>
      </c>
      <c r="W7" s="62" t="str">
        <f>IF(ISBLANK($D7)," ",IF(VLOOKUP($O7,AD,9,FALSE)&gt;0,VLOOKUP($O7,AD,9,FALSE)," "))</f>
        <v> </v>
      </c>
      <c r="X7" s="63"/>
      <c r="Y7" s="61" t="str">
        <f aca="true" t="shared" si="0" ref="Y7:Y12">IF(ISBLANK($X7)," ",IF(VLOOKUP($X7,NAV,2,FALSE)&gt;0,VLOOKUP($X7,NAV,2,FALSE)," "))</f>
        <v> </v>
      </c>
      <c r="Z7" s="41"/>
      <c r="AA7" s="25"/>
      <c r="AB7" s="44"/>
      <c r="AC7" s="52"/>
      <c r="AD7" s="52"/>
      <c r="AE7" s="44"/>
      <c r="AF7" s="44"/>
      <c r="AG7" s="64"/>
      <c r="AH7" s="43"/>
      <c r="AI7" s="43"/>
      <c r="AJ7" s="64"/>
      <c r="AK7" s="64"/>
      <c r="AL7" s="64"/>
      <c r="AM7" s="64"/>
      <c r="AN7" s="43"/>
      <c r="AO7" s="43"/>
      <c r="AP7" s="64"/>
      <c r="AQ7" s="43"/>
      <c r="AR7" s="44"/>
      <c r="AS7" s="44"/>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row>
    <row r="8" spans="1:243" ht="19.5" customHeight="1" thickTop="1">
      <c r="A8" s="27"/>
      <c r="B8" s="65" t="s">
        <v>137</v>
      </c>
      <c r="C8" s="54"/>
      <c r="D8" s="66"/>
      <c r="E8" s="55"/>
      <c r="F8" s="30"/>
      <c r="G8" s="67" t="s">
        <v>147</v>
      </c>
      <c r="H8" s="68"/>
      <c r="I8" s="272" t="str">
        <f>IF(ISBLANK(FLYET)," ",IF(VLOOKUP(FLYET,FLY,5,FALSE)&gt;0,VLOOKUP(FLYET,FLY,5,FALSE)," "))</f>
        <v> </v>
      </c>
      <c r="J8" s="273"/>
      <c r="K8" s="272" t="str">
        <f>IF(ISBLANK(FLYET)," ",IF(VLOOKUP(FLYET,FLY,4,FALSE)&gt;0,VLOOKUP(FLYET,FLY,4,FALSE)," "))</f>
        <v> </v>
      </c>
      <c r="L8" s="274">
        <f aca="true" t="shared" si="1" ref="L8:L13">IF(ISNUMBER(K8*I8),K8*I8,"")</f>
      </c>
      <c r="M8" s="33"/>
      <c r="N8" s="49"/>
      <c r="O8" s="69"/>
      <c r="P8" s="61" t="str">
        <f>IF(ISBLANK($O8)," ",IF(VLOOKUP($O8,AD,2,FALSE)&gt;0,VLOOKUP($O8,AD,2,FALSE)," "))</f>
        <v> </v>
      </c>
      <c r="Q8" s="61" t="str">
        <f>IF(ISBLANK($O8)," ",IF(VLOOKUP($O8,AD,3,FALSE)&gt;0,VLOOKUP($O8,AD,3,FALSE)," "))</f>
        <v> </v>
      </c>
      <c r="R8" s="61" t="str">
        <f>IF(ISBLANK($O8)," ",IF(VLOOKUP($O8,AD,4,FALSE)&gt;0,VLOOKUP($O8,AD,4,FALSE)," "))</f>
        <v> </v>
      </c>
      <c r="S8" s="61" t="str">
        <f>IF(ISBLANK($O8)," ",IF(VLOOKUP($O8,AD,5,FALSE)&gt;0,VLOOKUP($O8,AD,5,FALSE)," "))</f>
        <v> </v>
      </c>
      <c r="T8" s="61" t="str">
        <f>IF(ISBLANK($O8)," ",IF(VLOOKUP($O8,AD,6,FALSE)&gt;0,VLOOKUP($O8,AD,6,FALSE)," "))</f>
        <v> </v>
      </c>
      <c r="U8" s="61" t="str">
        <f>IF(ISBLANK($O8)," ",IF(VLOOKUP($O8,AD,7,FALSE)&gt;0,VLOOKUP($O8,AD,7,FALSE)," "))</f>
        <v> </v>
      </c>
      <c r="V8" s="62" t="str">
        <f>IF(ISBLANK($O8)," ",IF(VLOOKUP($O8,AD,8,FALSE)&gt;0,VLOOKUP($O8,AD,8,FALSE)," "))</f>
        <v> </v>
      </c>
      <c r="W8" s="62" t="str">
        <f>IF(ISBLANK($O8)," ",IF(VLOOKUP($O8,AD,9,FALSE)&gt;0,VLOOKUP($O8,AD,9,FALSE)," "))</f>
        <v> </v>
      </c>
      <c r="X8" s="63"/>
      <c r="Y8" s="61" t="str">
        <f t="shared" si="0"/>
        <v> </v>
      </c>
      <c r="Z8" s="41"/>
      <c r="AA8" s="25"/>
      <c r="AB8" s="5"/>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row>
    <row r="9" spans="1:243" ht="19.5" customHeight="1">
      <c r="A9" s="27"/>
      <c r="B9" s="65" t="s">
        <v>140</v>
      </c>
      <c r="C9" s="54"/>
      <c r="D9" s="66"/>
      <c r="E9" s="55"/>
      <c r="F9" s="70"/>
      <c r="G9" s="71" t="s">
        <v>148</v>
      </c>
      <c r="H9" s="22"/>
      <c r="I9" s="271" t="str">
        <f>IF(ISBLANK(FLYET)," ",IF(VLOOKUP(FLYET,FLY,6,FALSE)&gt;0,VLOOKUP(FLYET,FLY,6,FALSE)," "))</f>
        <v> </v>
      </c>
      <c r="J9" s="73"/>
      <c r="K9" s="362"/>
      <c r="L9" s="74">
        <f t="shared" si="1"/>
      </c>
      <c r="M9" s="33"/>
      <c r="N9" s="49"/>
      <c r="O9" s="69"/>
      <c r="P9" s="61" t="str">
        <f>IF(ISBLANK($O9)," ",IF(VLOOKUP($O9,AD,2,FALSE)&gt;0,VLOOKUP($O9,AD,2,FALSE)," "))</f>
        <v> </v>
      </c>
      <c r="Q9" s="61" t="str">
        <f>IF(ISBLANK($O9)," ",IF(VLOOKUP($O9,AD,3,FALSE)&gt;0,VLOOKUP($O9,AD,3,FALSE)," "))</f>
        <v> </v>
      </c>
      <c r="R9" s="61" t="str">
        <f>IF(ISBLANK($O9)," ",IF(VLOOKUP($O9,AD,4,FALSE)&gt;0,VLOOKUP($O9,AD,4,FALSE)," "))</f>
        <v> </v>
      </c>
      <c r="S9" s="61" t="str">
        <f>IF(ISBLANK($O9)," ",IF(VLOOKUP($O9,AD,5,FALSE)&gt;0,VLOOKUP($O9,AD,5,FALSE)," "))</f>
        <v> </v>
      </c>
      <c r="T9" s="61" t="str">
        <f>IF(ISBLANK($O9)," ",IF(VLOOKUP($O9,AD,6,FALSE)&gt;0,VLOOKUP($O9,AD,6,FALSE)," "))</f>
        <v> </v>
      </c>
      <c r="U9" s="61" t="str">
        <f>IF(ISBLANK($O9)," ",IF(VLOOKUP($O9,AD,7,FALSE)&gt;0,VLOOKUP($O9,AD,7,FALSE)," "))</f>
        <v> </v>
      </c>
      <c r="V9" s="62" t="str">
        <f>IF(ISBLANK($O9)," ",IF(VLOOKUP($O9,AD,8,FALSE)&gt;0,VLOOKUP($O9,AD,8,FALSE)," "))</f>
        <v> </v>
      </c>
      <c r="W9" s="62" t="str">
        <f>IF(ISBLANK($O9)," ",IF(VLOOKUP($O9,AD,9,FALSE)&gt;0,VLOOKUP($O9,AD,9,FALSE)," "))</f>
        <v> </v>
      </c>
      <c r="X9" s="63"/>
      <c r="Y9" s="61" t="str">
        <f t="shared" si="0"/>
        <v> </v>
      </c>
      <c r="Z9" s="41"/>
      <c r="AA9" s="25"/>
      <c r="AB9" s="5"/>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row>
    <row r="10" spans="1:243" ht="19.5" customHeight="1">
      <c r="A10" s="27"/>
      <c r="B10" s="28" t="s">
        <v>2</v>
      </c>
      <c r="C10" s="29"/>
      <c r="D10" s="29"/>
      <c r="E10" s="29"/>
      <c r="F10" s="70"/>
      <c r="G10" s="71" t="s">
        <v>149</v>
      </c>
      <c r="H10" s="22"/>
      <c r="I10" s="271" t="str">
        <f>IF(ISBLANK(FLYET)," ",IF(VLOOKUP(FLYET,FLY,7,FALSE)&gt;0,VLOOKUP(FLYET,FLY,7,FALSE)," "))</f>
        <v> </v>
      </c>
      <c r="J10" s="73"/>
      <c r="K10" s="362"/>
      <c r="L10" s="74">
        <f t="shared" si="1"/>
      </c>
      <c r="M10" s="33"/>
      <c r="N10" s="49"/>
      <c r="O10" s="69"/>
      <c r="P10" s="61" t="str">
        <f>IF(ISBLANK($O10)," ",IF(VLOOKUP($O10,AD,2,FALSE)&gt;0,VLOOKUP($O10,AD,2,FALSE)," "))</f>
        <v> </v>
      </c>
      <c r="Q10" s="61" t="str">
        <f>IF(ISBLANK($O10)," ",IF(VLOOKUP($O10,AD,3,FALSE)&gt;0,VLOOKUP($O10,AD,3,FALSE)," "))</f>
        <v> </v>
      </c>
      <c r="R10" s="61" t="str">
        <f>IF(ISBLANK($O10)," ",IF(VLOOKUP($O10,AD,4,FALSE)&gt;0,VLOOKUP($O10,AD,4,FALSE)," "))</f>
        <v> </v>
      </c>
      <c r="S10" s="61" t="str">
        <f>IF(ISBLANK($O10)," ",IF(VLOOKUP($O10,AD,5,FALSE)&gt;0,VLOOKUP($O10,AD,5,FALSE)," "))</f>
        <v> </v>
      </c>
      <c r="T10" s="61" t="str">
        <f>IF(ISBLANK($O10)," ",IF(VLOOKUP($O10,AD,6,FALSE)&gt;0,VLOOKUP($O10,AD,6,FALSE)," "))</f>
        <v> </v>
      </c>
      <c r="U10" s="61" t="str">
        <f>IF(ISBLANK($O10)," ",IF(VLOOKUP($O10,AD,7,FALSE)&gt;0,VLOOKUP($O10,AD,7,FALSE)," "))</f>
        <v> </v>
      </c>
      <c r="V10" s="62" t="str">
        <f>IF(ISBLANK($O10)," ",IF(VLOOKUP($O10,AD,8,FALSE)&gt;0,VLOOKUP($O10,AD,8,FALSE)," "))</f>
        <v> </v>
      </c>
      <c r="W10" s="62" t="str">
        <f>IF(ISBLANK($O10)," ",IF(VLOOKUP($O10,AD,9,FALSE)&gt;0,VLOOKUP($O10,AD,9,FALSE)," "))</f>
        <v> </v>
      </c>
      <c r="X10" s="63"/>
      <c r="Y10" s="61" t="str">
        <f t="shared" si="0"/>
        <v> </v>
      </c>
      <c r="Z10" s="41"/>
      <c r="AA10" s="25"/>
      <c r="AB10" s="5"/>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row>
    <row r="11" spans="1:243" ht="19.5" customHeight="1" thickTop="1">
      <c r="A11" s="27"/>
      <c r="B11" s="75" t="s">
        <v>141</v>
      </c>
      <c r="C11" s="76"/>
      <c r="D11" s="76"/>
      <c r="E11" s="364"/>
      <c r="F11" s="70"/>
      <c r="G11" s="71" t="s">
        <v>150</v>
      </c>
      <c r="H11" s="22"/>
      <c r="I11" s="271" t="str">
        <f>IF(ISBLANK(FLYET)," ",IF(VLOOKUP(FLYET,FLY,9,FALSE)&gt;0,VLOOKUP(FLYET,FLY,9,FALSE)," "))</f>
        <v> </v>
      </c>
      <c r="J11" s="271" t="str">
        <f>IF(ISBLANK(FLYET)," ",IF(VLOOKUP(FLYET,FLY,8,FALSE)&gt;0,VLOOKUP(FLYET,FLY,8,FALSE)," "))</f>
        <v> </v>
      </c>
      <c r="K11" s="362"/>
      <c r="L11" s="74">
        <f t="shared" si="1"/>
      </c>
      <c r="M11" s="33"/>
      <c r="N11" s="49"/>
      <c r="O11" s="69"/>
      <c r="P11" s="61" t="str">
        <f>IF(ISBLANK($O11)," ",IF(VLOOKUP($O11,AD,2,FALSE)&gt;0,VLOOKUP($O11,AD,2,FALSE)," "))</f>
        <v> </v>
      </c>
      <c r="Q11" s="61" t="str">
        <f>IF(ISBLANK($O11)," ",IF(VLOOKUP($O11,AD,3,FALSE)&gt;0,VLOOKUP($O11,AD,3,FALSE)," "))</f>
        <v> </v>
      </c>
      <c r="R11" s="61" t="str">
        <f>IF(ISBLANK($O11)," ",IF(VLOOKUP($O11,AD,4,FALSE)&gt;0,VLOOKUP($O11,AD,4,FALSE)," "))</f>
        <v> </v>
      </c>
      <c r="S11" s="61" t="str">
        <f>IF(ISBLANK($O11)," ",IF(VLOOKUP($O11,AD,5,FALSE)&gt;0,VLOOKUP($O11,AD,5,FALSE)," "))</f>
        <v> </v>
      </c>
      <c r="T11" s="61" t="str">
        <f>IF(ISBLANK($O11)," ",IF(VLOOKUP($O11,AD,6,FALSE)&gt;0,VLOOKUP($O11,AD,6,FALSE)," "))</f>
        <v> </v>
      </c>
      <c r="U11" s="61" t="str">
        <f>IF(ISBLANK($O11)," ",IF(VLOOKUP($O11,AD,7,FALSE)&gt;0,VLOOKUP($O11,AD,7,FALSE)," "))</f>
        <v> </v>
      </c>
      <c r="V11" s="62" t="str">
        <f>IF(ISBLANK($O11)," ",IF(VLOOKUP($O11,AD,8,FALSE)&gt;0,VLOOKUP($O11,AD,8,FALSE)," "))</f>
        <v> </v>
      </c>
      <c r="W11" s="62" t="str">
        <f>IF(ISBLANK($O11)," ",IF(VLOOKUP($O11,AD,9,FALSE)&gt;0,VLOOKUP($O11,AD,9,FALSE)," "))</f>
        <v> </v>
      </c>
      <c r="X11" s="63"/>
      <c r="Y11" s="61" t="str">
        <f t="shared" si="0"/>
        <v> </v>
      </c>
      <c r="Z11" s="41"/>
      <c r="AA11" s="25"/>
      <c r="AB11" s="5"/>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row>
    <row r="12" spans="1:243" ht="19.5" customHeight="1" thickBot="1">
      <c r="A12" s="27"/>
      <c r="B12" s="77" t="s">
        <v>3</v>
      </c>
      <c r="C12" s="78"/>
      <c r="D12" s="78"/>
      <c r="E12" s="79">
        <f>IF(ISNUMBER(E11*W33),W33*24*E11,"")</f>
      </c>
      <c r="F12" s="80"/>
      <c r="G12" s="71" t="s">
        <v>151</v>
      </c>
      <c r="H12" s="22"/>
      <c r="I12" s="271">
        <f>IF(ISBLANK(FLYET),"",IF(VLOOKUP(FLYET,FLY,11,FALSE)&gt;0,VLOOKUP(FLYET,FLY,11,FALSE),""))</f>
      </c>
      <c r="J12" s="72" t="str">
        <f>IF(ISBLANK(FLYET)," ",IF(VLOOKUP(FLYET,FLY,10,FALSE)&gt;0,VLOOKUP(FLYET,FLY,10,FALSE)," "))</f>
        <v> </v>
      </c>
      <c r="K12" s="362"/>
      <c r="L12" s="74">
        <f t="shared" si="1"/>
      </c>
      <c r="M12" s="33"/>
      <c r="N12" s="49"/>
      <c r="O12" s="69"/>
      <c r="P12" s="61" t="str">
        <f>IF(ISBLANK($O12)," ",IF(VLOOKUP($O12,AD,2,FALSE)&gt;0,VLOOKUP($O12,AD,2,FALSE)," "))</f>
        <v> </v>
      </c>
      <c r="Q12" s="61" t="str">
        <f>IF(ISBLANK($O12)," ",IF(VLOOKUP($O12,AD,3,FALSE)&gt;0,VLOOKUP($O12,AD,3,FALSE)," "))</f>
        <v> </v>
      </c>
      <c r="R12" s="61" t="str">
        <f>IF(ISBLANK($O12)," ",IF(VLOOKUP($O12,AD,4,FALSE)&gt;0,VLOOKUP($O12,AD,4,FALSE)," "))</f>
        <v> </v>
      </c>
      <c r="S12" s="61" t="str">
        <f>IF(ISBLANK($O12)," ",IF(VLOOKUP($O12,AD,5,FALSE)&gt;0,VLOOKUP($O12,AD,5,FALSE)," "))</f>
        <v> </v>
      </c>
      <c r="T12" s="61" t="str">
        <f>IF(ISBLANK($O12)," ",IF(VLOOKUP($O12,AD,6,FALSE)&gt;0,VLOOKUP($O12,AD,6,FALSE)," "))</f>
        <v> </v>
      </c>
      <c r="U12" s="61" t="str">
        <f>IF(ISBLANK($O12)," ",IF(VLOOKUP($O12,AD,7,FALSE)&gt;0,VLOOKUP($O12,AD,7,FALSE)," "))</f>
        <v> </v>
      </c>
      <c r="V12" s="62" t="str">
        <f>IF(ISBLANK($O12)," ",IF(VLOOKUP($O12,AD,8,FALSE)&gt;0,VLOOKUP($O12,AD,8,FALSE)," "))</f>
        <v> </v>
      </c>
      <c r="W12" s="62" t="str">
        <f>IF(ISBLANK($O12)," ",IF(VLOOKUP($O12,AD,9,FALSE)&gt;0,VLOOKUP($O12,AD,9,FALSE)," "))</f>
        <v> </v>
      </c>
      <c r="X12" s="63"/>
      <c r="Y12" s="61" t="str">
        <f t="shared" si="0"/>
        <v> </v>
      </c>
      <c r="Z12" s="41"/>
      <c r="AA12" s="25"/>
      <c r="AB12" s="5"/>
      <c r="AC12" s="81"/>
      <c r="AE12" s="81"/>
      <c r="AG12" s="81"/>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row>
    <row r="13" spans="1:243" ht="19.5" customHeight="1" thickBot="1" thickTop="1">
      <c r="A13" s="27"/>
      <c r="B13" s="77" t="s">
        <v>142</v>
      </c>
      <c r="C13" s="78"/>
      <c r="D13" s="78"/>
      <c r="E13" s="365"/>
      <c r="F13" s="82"/>
      <c r="G13" s="71" t="s">
        <v>19</v>
      </c>
      <c r="H13" s="22"/>
      <c r="I13" s="271" t="str">
        <f>IF(ISBLANK(FLYET)," ",IF(VLOOKUP(FLYET,FLY,3,FALSE)&gt;0,VLOOKUP(FLYET,FLY,3,FALSE)," "))</f>
        <v> </v>
      </c>
      <c r="J13" s="72" t="str">
        <f>IF(ISBLANK(FLYET)," ",IF(VLOOKUP(FLYET,FLY,2,FALSE)&gt;0,VLOOKUP(FLYET,FLY,2,FALSE)," "))</f>
        <v> </v>
      </c>
      <c r="K13" s="363"/>
      <c r="L13" s="74">
        <f t="shared" si="1"/>
      </c>
      <c r="M13" s="33"/>
      <c r="N13" s="49"/>
      <c r="O13" s="83" t="s">
        <v>34</v>
      </c>
      <c r="P13" s="83" t="s">
        <v>37</v>
      </c>
      <c r="Q13" s="83" t="s">
        <v>39</v>
      </c>
      <c r="R13" s="83" t="s">
        <v>41</v>
      </c>
      <c r="S13" s="83" t="s">
        <v>43</v>
      </c>
      <c r="T13" s="83" t="s">
        <v>46</v>
      </c>
      <c r="U13" s="84" t="s">
        <v>48</v>
      </c>
      <c r="V13" s="83" t="s">
        <v>50</v>
      </c>
      <c r="W13" s="83" t="s">
        <v>56</v>
      </c>
      <c r="X13" s="83" t="s">
        <v>61</v>
      </c>
      <c r="Y13" s="83" t="s">
        <v>66</v>
      </c>
      <c r="Z13" s="41"/>
      <c r="AA13" s="25"/>
      <c r="AB13" s="5"/>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row>
    <row r="14" spans="1:243" ht="19.5" customHeight="1" thickBot="1" thickTop="1">
      <c r="A14" s="27"/>
      <c r="B14" s="77" t="s">
        <v>4</v>
      </c>
      <c r="C14" s="78"/>
      <c r="D14" s="78"/>
      <c r="E14" s="79">
        <f>IF(SUM(E12:E13)&gt;1,SUM(E12:E13)+0.75*E11,"")</f>
      </c>
      <c r="F14" s="70"/>
      <c r="G14" s="71" t="s">
        <v>152</v>
      </c>
      <c r="H14" s="22"/>
      <c r="I14" s="85"/>
      <c r="J14" s="85"/>
      <c r="K14" s="86">
        <f>IF(SUM(K9:K13)&gt;100,SUM(K8:K13),"")</f>
      </c>
      <c r="L14" s="253">
        <f>IF(SUM(L9:L13)&gt;100,SUM(L8:L13),"")</f>
      </c>
      <c r="M14" s="33"/>
      <c r="N14" s="49"/>
      <c r="O14" s="87"/>
      <c r="P14" s="87"/>
      <c r="Q14" s="87"/>
      <c r="R14" s="87"/>
      <c r="S14" s="88" t="s">
        <v>44</v>
      </c>
      <c r="T14" s="87"/>
      <c r="U14" s="87"/>
      <c r="V14" s="88" t="s">
        <v>51</v>
      </c>
      <c r="W14" s="87"/>
      <c r="X14" s="87"/>
      <c r="Y14" s="87"/>
      <c r="Z14" s="41"/>
      <c r="AA14" s="25"/>
      <c r="AB14" s="5"/>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row>
    <row r="15" spans="1:243" ht="19.5" customHeight="1" thickTop="1">
      <c r="A15" s="27"/>
      <c r="B15" s="77" t="s">
        <v>5</v>
      </c>
      <c r="C15" s="78"/>
      <c r="D15" s="78"/>
      <c r="E15" s="384"/>
      <c r="F15" s="30"/>
      <c r="G15" s="89" t="str">
        <f>"Max. vægt Normal/Utility : "&amp;(IF(ISBLANK(FLYET)," ",VLOOKUP(FLYET,FLY,12,FALSE)&amp;"/"&amp;VLOOKUP(FLYET,FLY,13,FALSE)))</f>
        <v>Max. vægt Normal/Utility :  </v>
      </c>
      <c r="H15" s="47"/>
      <c r="I15" s="47"/>
      <c r="J15" s="47"/>
      <c r="K15" s="90" t="s">
        <v>28</v>
      </c>
      <c r="L15" s="91">
        <f>IF(ISNUMBER(K14),IF(ISNUMBER(L14),FIXED(L14/K14,2,TRUE)&amp;"/"&amp;FIXED(L14/K14/0.0254,1,TRUE),""),"")</f>
      </c>
      <c r="M15" s="48"/>
      <c r="N15" s="49"/>
      <c r="O15" s="92"/>
      <c r="P15" s="92"/>
      <c r="Q15" s="92"/>
      <c r="R15" s="92"/>
      <c r="S15" s="93" t="s">
        <v>44</v>
      </c>
      <c r="T15" s="92"/>
      <c r="U15" s="92"/>
      <c r="V15" s="93" t="s">
        <v>51</v>
      </c>
      <c r="W15" s="92"/>
      <c r="X15" s="92"/>
      <c r="Y15" s="92"/>
      <c r="Z15" s="41"/>
      <c r="AA15" s="25"/>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row>
    <row r="16" spans="1:243" ht="19.5" customHeight="1">
      <c r="A16" s="27"/>
      <c r="B16" s="77" t="s">
        <v>6</v>
      </c>
      <c r="C16" s="78"/>
      <c r="D16" s="94"/>
      <c r="E16" s="95">
        <f>IF(E11*E15&gt;0,E15/E11/24,"")</f>
      </c>
      <c r="F16" s="30"/>
      <c r="G16" s="26" t="str">
        <f>IF(ISBLANK(FLYET)," ",VLOOKUP(FLYET,FLY,15,FALSE))</f>
        <v> </v>
      </c>
      <c r="K16" s="96" t="s">
        <v>29</v>
      </c>
      <c r="L16" s="97" t="s">
        <v>31</v>
      </c>
      <c r="M16" s="48"/>
      <c r="N16" s="49"/>
      <c r="O16" s="98"/>
      <c r="P16" s="99"/>
      <c r="Q16" s="99"/>
      <c r="R16" s="98"/>
      <c r="S16" s="93" t="s">
        <v>44</v>
      </c>
      <c r="T16" s="99"/>
      <c r="U16" s="99"/>
      <c r="V16" s="93" t="s">
        <v>51</v>
      </c>
      <c r="W16" s="92"/>
      <c r="X16" s="92"/>
      <c r="Y16" s="92"/>
      <c r="Z16" s="41"/>
      <c r="AA16" s="25"/>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row>
    <row r="17" spans="1:243" ht="12" customHeight="1">
      <c r="A17" s="27"/>
      <c r="B17" s="22"/>
      <c r="C17" s="22"/>
      <c r="D17" s="22"/>
      <c r="E17" s="22"/>
      <c r="F17" s="100"/>
      <c r="G17" s="100"/>
      <c r="H17" s="100"/>
      <c r="I17" s="100"/>
      <c r="J17" s="100"/>
      <c r="K17" s="100"/>
      <c r="L17" s="100"/>
      <c r="M17" s="48"/>
      <c r="N17" s="49"/>
      <c r="O17" s="101"/>
      <c r="P17" s="102"/>
      <c r="Q17" s="103"/>
      <c r="R17" s="101"/>
      <c r="S17" s="104"/>
      <c r="T17" s="54"/>
      <c r="U17" s="22"/>
      <c r="V17" s="105"/>
      <c r="W17" s="106"/>
      <c r="X17" s="105"/>
      <c r="Y17" s="106"/>
      <c r="Z17" s="100"/>
      <c r="AA17" s="25"/>
      <c r="AB17" s="5"/>
      <c r="AQ17" s="43"/>
      <c r="AR17" s="43"/>
      <c r="AS17" s="43"/>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row>
    <row r="18" spans="1:243" ht="19.5" customHeight="1">
      <c r="A18" s="27"/>
      <c r="B18" s="32"/>
      <c r="C18" s="32"/>
      <c r="D18" s="32"/>
      <c r="E18" s="32"/>
      <c r="F18" s="32"/>
      <c r="G18" s="32"/>
      <c r="H18" s="32"/>
      <c r="I18" s="32"/>
      <c r="J18" s="32"/>
      <c r="K18" s="32"/>
      <c r="L18" s="32"/>
      <c r="M18" s="107"/>
      <c r="N18" s="108"/>
      <c r="O18" s="32"/>
      <c r="P18" s="109"/>
      <c r="Q18" s="110"/>
      <c r="R18" s="110"/>
      <c r="S18" s="110"/>
      <c r="T18" s="110"/>
      <c r="U18" s="110"/>
      <c r="V18" s="32"/>
      <c r="W18" s="331"/>
      <c r="X18" s="333"/>
      <c r="Y18" s="329"/>
      <c r="Z18" s="111"/>
      <c r="AA18" s="112"/>
      <c r="AB18" s="5"/>
      <c r="AQ18" s="43"/>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row>
    <row r="19" spans="1:243" ht="15.75" customHeight="1" thickBot="1">
      <c r="A19" s="27"/>
      <c r="B19" s="60"/>
      <c r="C19" s="60"/>
      <c r="D19" s="113"/>
      <c r="E19" s="113"/>
      <c r="F19" s="113"/>
      <c r="G19" s="113"/>
      <c r="H19" s="113"/>
      <c r="I19" s="113"/>
      <c r="J19" s="113"/>
      <c r="K19" s="113"/>
      <c r="L19" s="113"/>
      <c r="M19" s="114"/>
      <c r="N19" s="115"/>
      <c r="O19" s="113"/>
      <c r="P19" s="116"/>
      <c r="Q19" s="117"/>
      <c r="R19" s="117"/>
      <c r="S19" s="117"/>
      <c r="T19" s="117"/>
      <c r="U19" s="117"/>
      <c r="V19" s="113"/>
      <c r="W19" s="113"/>
      <c r="X19" s="334"/>
      <c r="Y19" s="330"/>
      <c r="Z19" s="111"/>
      <c r="AA19" s="112"/>
      <c r="AB19" s="5"/>
      <c r="AQ19" s="43"/>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row>
    <row r="20" spans="1:243" ht="30" customHeight="1" thickBot="1" thickTop="1">
      <c r="A20" s="27"/>
      <c r="B20" s="179" t="s">
        <v>7</v>
      </c>
      <c r="C20" s="179" t="s">
        <v>13</v>
      </c>
      <c r="D20" s="179" t="s">
        <v>15</v>
      </c>
      <c r="E20" s="179" t="s">
        <v>16</v>
      </c>
      <c r="F20" s="179" t="s">
        <v>17</v>
      </c>
      <c r="G20" s="179" t="s">
        <v>20</v>
      </c>
      <c r="H20" s="179" t="s">
        <v>21</v>
      </c>
      <c r="I20" s="179" t="s">
        <v>24</v>
      </c>
      <c r="J20" s="179" t="s">
        <v>26</v>
      </c>
      <c r="K20" s="179" t="s">
        <v>30</v>
      </c>
      <c r="L20" s="182" t="s">
        <v>32</v>
      </c>
      <c r="M20" s="118"/>
      <c r="N20" s="119"/>
      <c r="O20" s="179" t="s">
        <v>74</v>
      </c>
      <c r="P20" s="180" t="s">
        <v>165</v>
      </c>
      <c r="Q20" s="181"/>
      <c r="R20" s="181"/>
      <c r="S20" s="181"/>
      <c r="T20" s="181"/>
      <c r="U20" s="181"/>
      <c r="V20" s="179" t="s">
        <v>166</v>
      </c>
      <c r="W20" s="182" t="s">
        <v>111</v>
      </c>
      <c r="X20" s="332" t="s">
        <v>62</v>
      </c>
      <c r="Y20" s="328" t="s">
        <v>67</v>
      </c>
      <c r="Z20" s="111"/>
      <c r="AA20" s="112"/>
      <c r="AB20" s="5"/>
      <c r="AQ20" s="43"/>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row>
    <row r="21" spans="1:243" ht="33" customHeight="1" thickTop="1">
      <c r="A21" s="27"/>
      <c r="B21" s="366"/>
      <c r="C21" s="366"/>
      <c r="D21" s="366"/>
      <c r="E21" s="366"/>
      <c r="F21" s="366"/>
      <c r="G21" s="162">
        <f>IF(ISBLANK(C21),"",Vindkorreksjon!H21)</f>
      </c>
      <c r="H21" s="162">
        <f aca="true" t="shared" si="2" ref="H21:H32">IF(ISBLANK(C21),"",IF(ISBLANK(IAS),"",IAS+(C21/1000)*1.6*IAS/100))</f>
      </c>
      <c r="I21" s="162">
        <f>IF(ISBLANK(C21),"",Vindkorreksjon!K21)</f>
      </c>
      <c r="J21" s="163">
        <f>IF(ISBLANK(C21),"",Vindkorreksjon!I21)</f>
      </c>
      <c r="K21" s="380"/>
      <c r="L21" s="381"/>
      <c r="M21" s="122"/>
      <c r="N21" s="123"/>
      <c r="O21" s="177">
        <f>IF(C21*D21=0,"",TEXT(J21+K21+L21,"000")&amp;","&amp;FIXED(C21/100,0,TRUE))</f>
      </c>
      <c r="P21" s="369"/>
      <c r="Q21" s="370"/>
      <c r="R21" s="370"/>
      <c r="S21" s="371"/>
      <c r="T21" s="371"/>
      <c r="U21" s="371"/>
      <c r="V21" s="366"/>
      <c r="W21" s="178">
        <f>IF(C21*V21=0,"",IF(ISNUMBER(Vindkorreksjon!N21),Vindkorreksjon!N21/(24*60),""))</f>
      </c>
      <c r="X21" s="175"/>
      <c r="Y21" s="176"/>
      <c r="Z21" s="41"/>
      <c r="AA21" s="25"/>
      <c r="AB21" s="5"/>
      <c r="AQ21" s="43"/>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row>
    <row r="22" spans="1:243" ht="33" customHeight="1">
      <c r="A22" s="27"/>
      <c r="B22" s="367"/>
      <c r="C22" s="367"/>
      <c r="D22" s="367"/>
      <c r="E22" s="367"/>
      <c r="F22" s="367"/>
      <c r="G22" s="126">
        <f>IF(ISBLANK(C22),"",Vindkorreksjon!H22)</f>
      </c>
      <c r="H22" s="126">
        <f t="shared" si="2"/>
      </c>
      <c r="I22" s="126">
        <f>IF(ISBLANK(C22),"",Vindkorreksjon!K22)</f>
      </c>
      <c r="J22" s="126">
        <f>IF(ISBLANK(C22),"",Vindkorreksjon!I22)</f>
      </c>
      <c r="K22" s="382"/>
      <c r="L22" s="382"/>
      <c r="M22" s="122"/>
      <c r="N22" s="123"/>
      <c r="O22" s="322">
        <f aca="true" t="shared" si="3" ref="O22:O32">IF(C22*D22=0,"",TEXT(J22+K22+L22,"000")&amp;","&amp;FIXED(C22/100,0,TRUE))</f>
      </c>
      <c r="P22" s="372"/>
      <c r="Q22" s="373"/>
      <c r="R22" s="373"/>
      <c r="S22" s="374"/>
      <c r="T22" s="374"/>
      <c r="U22" s="374"/>
      <c r="V22" s="367"/>
      <c r="W22" s="127">
        <f>IF(C22*V22=0,"",Vindkorreksjon!N22/(24*60))</f>
      </c>
      <c r="X22" s="128"/>
      <c r="Y22" s="129"/>
      <c r="Z22" s="41"/>
      <c r="AA22" s="25"/>
      <c r="AB22" s="5"/>
      <c r="AQ22" s="43"/>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row>
    <row r="23" spans="1:243" ht="33" customHeight="1">
      <c r="A23" s="27"/>
      <c r="B23" s="368"/>
      <c r="C23" s="368"/>
      <c r="D23" s="368"/>
      <c r="E23" s="368"/>
      <c r="F23" s="368"/>
      <c r="G23" s="130">
        <f>IF(ISBLANK(C23),"",Vindkorreksjon!H23)</f>
      </c>
      <c r="H23" s="130">
        <f t="shared" si="2"/>
      </c>
      <c r="I23" s="130">
        <f>IF(ISBLANK(C23),"",Vindkorreksjon!K23)</f>
      </c>
      <c r="J23" s="130">
        <f>IF(ISBLANK(C23),"",Vindkorreksjon!I23)</f>
      </c>
      <c r="K23" s="383"/>
      <c r="L23" s="383"/>
      <c r="M23" s="122"/>
      <c r="N23" s="123"/>
      <c r="O23" s="323">
        <f t="shared" si="3"/>
      </c>
      <c r="P23" s="375"/>
      <c r="Q23" s="376"/>
      <c r="R23" s="376"/>
      <c r="S23" s="377"/>
      <c r="T23" s="377"/>
      <c r="U23" s="377"/>
      <c r="V23" s="368"/>
      <c r="W23" s="131">
        <f>IF(C23*V23=0,"",Vindkorreksjon!N23/(24*60))</f>
      </c>
      <c r="X23" s="124"/>
      <c r="Y23" s="125"/>
      <c r="Z23" s="41"/>
      <c r="AA23" s="25"/>
      <c r="AB23" s="5"/>
      <c r="AQ23" s="43"/>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row>
    <row r="24" spans="1:243" ht="33" customHeight="1">
      <c r="A24" s="27"/>
      <c r="B24" s="367"/>
      <c r="C24" s="367"/>
      <c r="D24" s="367"/>
      <c r="E24" s="367"/>
      <c r="F24" s="367"/>
      <c r="G24" s="126">
        <f>IF(ISBLANK(C24),"",Vindkorreksjon!H24)</f>
      </c>
      <c r="H24" s="126">
        <f t="shared" si="2"/>
      </c>
      <c r="I24" s="126">
        <f>IF(ISBLANK(C24),"",Vindkorreksjon!K24)</f>
      </c>
      <c r="J24" s="126">
        <f>IF(ISBLANK(C24),"",Vindkorreksjon!I24)</f>
      </c>
      <c r="K24" s="382"/>
      <c r="L24" s="382"/>
      <c r="M24" s="122"/>
      <c r="N24" s="123"/>
      <c r="O24" s="322">
        <f t="shared" si="3"/>
      </c>
      <c r="P24" s="372"/>
      <c r="Q24" s="378"/>
      <c r="R24" s="378"/>
      <c r="S24" s="379"/>
      <c r="T24" s="379"/>
      <c r="U24" s="379"/>
      <c r="V24" s="367"/>
      <c r="W24" s="127">
        <f>IF(C24*V24=0,"",Vindkorreksjon!N24/(24*60))</f>
      </c>
      <c r="X24" s="128"/>
      <c r="Y24" s="129"/>
      <c r="Z24" s="41"/>
      <c r="AA24" s="25"/>
      <c r="AB24" s="5"/>
      <c r="AQ24" s="43"/>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row>
    <row r="25" spans="1:243" ht="33" customHeight="1">
      <c r="A25" s="27"/>
      <c r="B25" s="368"/>
      <c r="C25" s="368"/>
      <c r="D25" s="368"/>
      <c r="E25" s="368"/>
      <c r="F25" s="368"/>
      <c r="G25" s="130">
        <f>IF(ISBLANK(C25),"",Vindkorreksjon!H25)</f>
      </c>
      <c r="H25" s="130">
        <f t="shared" si="2"/>
      </c>
      <c r="I25" s="130">
        <f>IF(ISBLANK(C25),"",Vindkorreksjon!K25)</f>
      </c>
      <c r="J25" s="130">
        <f>IF(ISBLANK(C25),"",Vindkorreksjon!I25)</f>
      </c>
      <c r="K25" s="383"/>
      <c r="L25" s="383"/>
      <c r="M25" s="122"/>
      <c r="N25" s="123"/>
      <c r="O25" s="323">
        <f t="shared" si="3"/>
      </c>
      <c r="P25" s="375"/>
      <c r="Q25" s="376"/>
      <c r="R25" s="376"/>
      <c r="S25" s="377"/>
      <c r="T25" s="377"/>
      <c r="U25" s="377"/>
      <c r="V25" s="368"/>
      <c r="W25" s="131">
        <f>IF(C25*V25=0,"",Vindkorreksjon!N25/(24*60))</f>
      </c>
      <c r="X25" s="124"/>
      <c r="Y25" s="125"/>
      <c r="Z25" s="41"/>
      <c r="AA25" s="25"/>
      <c r="AB25" s="5"/>
      <c r="AQ25" s="43"/>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row>
    <row r="26" spans="1:243" ht="33" customHeight="1">
      <c r="A26" s="27"/>
      <c r="B26" s="367"/>
      <c r="C26" s="367"/>
      <c r="D26" s="367"/>
      <c r="E26" s="367"/>
      <c r="F26" s="367"/>
      <c r="G26" s="126">
        <f>IF(ISBLANK(C26),"",Vindkorreksjon!H26)</f>
      </c>
      <c r="H26" s="126">
        <f t="shared" si="2"/>
      </c>
      <c r="I26" s="126">
        <f>IF(ISBLANK(C26),"",Vindkorreksjon!K26)</f>
      </c>
      <c r="J26" s="126">
        <f>IF(ISBLANK(C26),"",Vindkorreksjon!I26)</f>
      </c>
      <c r="K26" s="382"/>
      <c r="L26" s="382"/>
      <c r="M26" s="122"/>
      <c r="N26" s="123"/>
      <c r="O26" s="322">
        <f t="shared" si="3"/>
      </c>
      <c r="P26" s="372"/>
      <c r="Q26" s="378"/>
      <c r="R26" s="378"/>
      <c r="S26" s="379"/>
      <c r="T26" s="379"/>
      <c r="U26" s="379"/>
      <c r="V26" s="367"/>
      <c r="W26" s="127">
        <f>IF(C26*V26=0,"",Vindkorreksjon!N26/(24*60))</f>
      </c>
      <c r="X26" s="128"/>
      <c r="Y26" s="129"/>
      <c r="Z26" s="41"/>
      <c r="AA26" s="25"/>
      <c r="AB26" s="5"/>
      <c r="AQ26" s="43"/>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row>
    <row r="27" spans="1:243" ht="33" customHeight="1">
      <c r="A27" s="27"/>
      <c r="B27" s="368"/>
      <c r="C27" s="368"/>
      <c r="D27" s="368"/>
      <c r="E27" s="368"/>
      <c r="F27" s="368"/>
      <c r="G27" s="130">
        <f>IF(ISBLANK(C27),"",Vindkorreksjon!H27)</f>
      </c>
      <c r="H27" s="130">
        <f t="shared" si="2"/>
      </c>
      <c r="I27" s="130">
        <f>IF(ISBLANK(C27),"",Vindkorreksjon!K27)</f>
      </c>
      <c r="J27" s="130">
        <f>IF(ISBLANK(C27),"",Vindkorreksjon!I27)</f>
      </c>
      <c r="K27" s="383"/>
      <c r="L27" s="383"/>
      <c r="M27" s="122"/>
      <c r="N27" s="123"/>
      <c r="O27" s="323">
        <f t="shared" si="3"/>
      </c>
      <c r="P27" s="375"/>
      <c r="Q27" s="376"/>
      <c r="R27" s="376"/>
      <c r="S27" s="377"/>
      <c r="T27" s="377"/>
      <c r="U27" s="377"/>
      <c r="V27" s="368"/>
      <c r="W27" s="131">
        <f>IF(C27*V27=0,"",Vindkorreksjon!N27/(24*60))</f>
      </c>
      <c r="X27" s="124"/>
      <c r="Y27" s="125"/>
      <c r="Z27" s="41"/>
      <c r="AA27" s="25"/>
      <c r="AB27" s="5"/>
      <c r="AQ27" s="43"/>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row>
    <row r="28" spans="1:243" ht="33" customHeight="1">
      <c r="A28" s="27"/>
      <c r="B28" s="367"/>
      <c r="C28" s="367"/>
      <c r="D28" s="367"/>
      <c r="E28" s="367"/>
      <c r="F28" s="367"/>
      <c r="G28" s="126">
        <f>IF(ISBLANK(C28),"",Vindkorreksjon!H28)</f>
      </c>
      <c r="H28" s="126">
        <f t="shared" si="2"/>
      </c>
      <c r="I28" s="126">
        <f>IF(ISBLANK(C28),"",Vindkorreksjon!K28)</f>
      </c>
      <c r="J28" s="126">
        <f>IF(ISBLANK(C28),"",Vindkorreksjon!I28)</f>
      </c>
      <c r="K28" s="382"/>
      <c r="L28" s="382"/>
      <c r="M28" s="122"/>
      <c r="N28" s="123"/>
      <c r="O28" s="322">
        <f t="shared" si="3"/>
      </c>
      <c r="P28" s="372"/>
      <c r="Q28" s="378"/>
      <c r="R28" s="378"/>
      <c r="S28" s="379"/>
      <c r="T28" s="379"/>
      <c r="U28" s="379"/>
      <c r="V28" s="367"/>
      <c r="W28" s="127">
        <f>IF(C28*V28=0,"",Vindkorreksjon!N28/(24*60))</f>
      </c>
      <c r="X28" s="128"/>
      <c r="Y28" s="129"/>
      <c r="Z28" s="41"/>
      <c r="AA28" s="25"/>
      <c r="AB28" s="5"/>
      <c r="AQ28" s="43"/>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row>
    <row r="29" spans="1:243" ht="33" customHeight="1">
      <c r="A29" s="27"/>
      <c r="B29" s="368"/>
      <c r="C29" s="368"/>
      <c r="D29" s="368"/>
      <c r="E29" s="368"/>
      <c r="F29" s="368"/>
      <c r="G29" s="130">
        <f>IF(ISBLANK(C29),"",Vindkorreksjon!H29)</f>
      </c>
      <c r="H29" s="130">
        <f t="shared" si="2"/>
      </c>
      <c r="I29" s="130">
        <f>IF(ISBLANK(C29),"",Vindkorreksjon!K29)</f>
      </c>
      <c r="J29" s="130">
        <f>IF(ISBLANK(C29),"",Vindkorreksjon!I29)</f>
      </c>
      <c r="K29" s="383"/>
      <c r="L29" s="383"/>
      <c r="M29" s="122"/>
      <c r="N29" s="123"/>
      <c r="O29" s="323">
        <f t="shared" si="3"/>
      </c>
      <c r="P29" s="375"/>
      <c r="Q29" s="376"/>
      <c r="R29" s="376"/>
      <c r="S29" s="377"/>
      <c r="T29" s="377"/>
      <c r="U29" s="377"/>
      <c r="V29" s="368"/>
      <c r="W29" s="131">
        <f>IF(C29*V29=0,"",Vindkorreksjon!N29/(24*60))</f>
      </c>
      <c r="X29" s="124"/>
      <c r="Y29" s="125"/>
      <c r="Z29" s="41"/>
      <c r="AA29" s="25"/>
      <c r="AB29" s="5"/>
      <c r="AQ29" s="43"/>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row>
    <row r="30" spans="1:243" ht="33" customHeight="1">
      <c r="A30" s="27"/>
      <c r="B30" s="367"/>
      <c r="C30" s="367"/>
      <c r="D30" s="367"/>
      <c r="E30" s="367"/>
      <c r="F30" s="367"/>
      <c r="G30" s="126">
        <f>IF(ISBLANK(C30),"",Vindkorreksjon!H30)</f>
      </c>
      <c r="H30" s="126">
        <f t="shared" si="2"/>
      </c>
      <c r="I30" s="126">
        <f>IF(ISBLANK(C30),"",Vindkorreksjon!K30)</f>
      </c>
      <c r="J30" s="126">
        <f>IF(ISBLANK(C30),"",Vindkorreksjon!I30)</f>
      </c>
      <c r="K30" s="382"/>
      <c r="L30" s="382"/>
      <c r="M30" s="122"/>
      <c r="N30" s="123"/>
      <c r="O30" s="322">
        <f t="shared" si="3"/>
      </c>
      <c r="P30" s="372"/>
      <c r="Q30" s="378"/>
      <c r="R30" s="378"/>
      <c r="S30" s="379"/>
      <c r="T30" s="379"/>
      <c r="U30" s="379"/>
      <c r="V30" s="367"/>
      <c r="W30" s="127">
        <f>IF(C30*V30=0,"",Vindkorreksjon!N30/(24*60))</f>
      </c>
      <c r="X30" s="128"/>
      <c r="Y30" s="129"/>
      <c r="Z30" s="41"/>
      <c r="AA30" s="25"/>
      <c r="AB30" s="5"/>
      <c r="AQ30" s="43"/>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row>
    <row r="31" spans="1:243" ht="33" customHeight="1">
      <c r="A31" s="27"/>
      <c r="B31" s="368"/>
      <c r="C31" s="368"/>
      <c r="D31" s="368"/>
      <c r="E31" s="368"/>
      <c r="F31" s="368"/>
      <c r="G31" s="130">
        <f>IF(ISBLANK(C31),"",Vindkorreksjon!H31)</f>
      </c>
      <c r="H31" s="130">
        <f t="shared" si="2"/>
      </c>
      <c r="I31" s="130">
        <f>IF(ISBLANK(C31),"",Vindkorreksjon!K31)</f>
      </c>
      <c r="J31" s="130">
        <f>IF(ISBLANK(C31),"",Vindkorreksjon!I31)</f>
      </c>
      <c r="K31" s="383"/>
      <c r="L31" s="383"/>
      <c r="M31" s="122"/>
      <c r="N31" s="123"/>
      <c r="O31" s="323">
        <f t="shared" si="3"/>
      </c>
      <c r="P31" s="375"/>
      <c r="Q31" s="376"/>
      <c r="R31" s="376"/>
      <c r="S31" s="377"/>
      <c r="T31" s="377"/>
      <c r="U31" s="377"/>
      <c r="V31" s="368"/>
      <c r="W31" s="131">
        <f>IF(C31*V31=0,"",Vindkorreksjon!N31/(24*60))</f>
      </c>
      <c r="X31" s="124"/>
      <c r="Y31" s="125"/>
      <c r="Z31" s="41"/>
      <c r="AA31" s="25"/>
      <c r="AB31" s="5"/>
      <c r="AQ31" s="43"/>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row>
    <row r="32" spans="1:243" ht="33" customHeight="1">
      <c r="A32" s="27"/>
      <c r="B32" s="367"/>
      <c r="C32" s="367"/>
      <c r="D32" s="367"/>
      <c r="E32" s="367"/>
      <c r="F32" s="367"/>
      <c r="G32" s="126">
        <f>IF(ISBLANK(C32),"",Vindkorreksjon!H32)</f>
      </c>
      <c r="H32" s="126">
        <f t="shared" si="2"/>
      </c>
      <c r="I32" s="126">
        <f>IF(ISBLANK(C32),"",Vindkorreksjon!K32)</f>
      </c>
      <c r="J32" s="126">
        <f>IF(ISBLANK(C32),"",Vindkorreksjon!I32)</f>
      </c>
      <c r="K32" s="382"/>
      <c r="L32" s="382"/>
      <c r="M32" s="122"/>
      <c r="N32" s="123"/>
      <c r="O32" s="324">
        <f t="shared" si="3"/>
      </c>
      <c r="P32" s="372"/>
      <c r="Q32" s="378"/>
      <c r="R32" s="378"/>
      <c r="S32" s="379"/>
      <c r="T32" s="379"/>
      <c r="U32" s="379"/>
      <c r="V32" s="367"/>
      <c r="W32" s="127">
        <f>IF(C32*V32=0,"",Vindkorreksjon!N32/(24*60))</f>
      </c>
      <c r="X32" s="128"/>
      <c r="Y32" s="129"/>
      <c r="Z32" s="41"/>
      <c r="AA32" s="25"/>
      <c r="AB32" s="5"/>
      <c r="AQ32" s="43"/>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row>
    <row r="33" spans="1:243" ht="19.5" customHeight="1">
      <c r="A33" s="27"/>
      <c r="B33" s="132"/>
      <c r="C33" s="22"/>
      <c r="D33" s="22"/>
      <c r="E33" s="22"/>
      <c r="F33" s="22"/>
      <c r="G33" s="22"/>
      <c r="H33" s="22"/>
      <c r="I33" s="22"/>
      <c r="J33" s="22"/>
      <c r="K33" s="22"/>
      <c r="L33" s="133" t="s">
        <v>221</v>
      </c>
      <c r="M33" s="48"/>
      <c r="N33" s="49"/>
      <c r="O33" s="134"/>
      <c r="P33" s="134"/>
      <c r="Q33" s="134"/>
      <c r="R33" s="135" t="s">
        <v>42</v>
      </c>
      <c r="S33" s="136" t="s">
        <v>31</v>
      </c>
      <c r="T33" s="137"/>
      <c r="U33" s="138" t="s">
        <v>157</v>
      </c>
      <c r="V33" s="139" t="str">
        <f>IF(SUMPRODUCT(V21:V32)&gt;0,SUM(V21:V32)," ")</f>
        <v> </v>
      </c>
      <c r="W33" s="140" t="str">
        <f>IF(SUMPRODUCT(W21:W32)&gt;0,SUM(W21:W32)," ")</f>
        <v> </v>
      </c>
      <c r="X33" s="141"/>
      <c r="Y33" s="47"/>
      <c r="Z33" s="100"/>
      <c r="AA33" s="25"/>
      <c r="AB33" s="4"/>
      <c r="AC33" s="100"/>
      <c r="AF33" s="26"/>
      <c r="AG33" s="26"/>
      <c r="AH33" s="26"/>
      <c r="AI33" s="26"/>
      <c r="AJ33" s="26"/>
      <c r="AK33" s="26"/>
      <c r="AL33" s="26"/>
      <c r="AM33" s="26"/>
      <c r="AN33" s="26"/>
      <c r="AO33" s="26"/>
      <c r="AP33" s="26"/>
      <c r="AQ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row>
    <row r="34" spans="1:243" ht="9.75" customHeight="1">
      <c r="A34" s="27"/>
      <c r="B34" s="100"/>
      <c r="C34" s="100"/>
      <c r="D34" s="100"/>
      <c r="E34" s="100"/>
      <c r="F34" s="100"/>
      <c r="G34" s="100"/>
      <c r="H34" s="100"/>
      <c r="I34" s="100"/>
      <c r="J34" s="100"/>
      <c r="K34" s="100"/>
      <c r="L34" s="100"/>
      <c r="M34" s="48"/>
      <c r="N34" s="49"/>
      <c r="O34" s="100"/>
      <c r="P34" s="100"/>
      <c r="Q34" s="100"/>
      <c r="R34" s="142"/>
      <c r="S34" s="100"/>
      <c r="T34" s="100"/>
      <c r="U34" s="100"/>
      <c r="V34" s="68"/>
      <c r="W34" s="68"/>
      <c r="X34" s="100"/>
      <c r="Y34" s="100"/>
      <c r="Z34" s="100"/>
      <c r="AA34" s="25"/>
      <c r="AB34" s="26"/>
      <c r="AC34" s="26"/>
      <c r="AD34" s="26"/>
      <c r="AE34" s="26"/>
      <c r="AF34" s="26"/>
      <c r="AG34" s="26"/>
      <c r="AH34" s="26"/>
      <c r="AI34" s="26"/>
      <c r="AJ34" s="26"/>
      <c r="AK34" s="26"/>
      <c r="AL34" s="26"/>
      <c r="AM34" s="26"/>
      <c r="AN34" s="26"/>
      <c r="AO34" s="26"/>
      <c r="AP34" s="26"/>
      <c r="AQ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row>
    <row r="35" spans="1:244" ht="15">
      <c r="A35" s="10"/>
      <c r="B35" s="10"/>
      <c r="C35" s="143"/>
      <c r="D35" s="143"/>
      <c r="E35" s="143"/>
      <c r="F35" s="143"/>
      <c r="G35" s="143"/>
      <c r="H35" s="143"/>
      <c r="I35" s="143"/>
      <c r="J35" s="143"/>
      <c r="K35" s="143"/>
      <c r="L35" s="143"/>
      <c r="M35" s="144"/>
      <c r="N35" s="145"/>
      <c r="O35" s="143"/>
      <c r="P35" s="143"/>
      <c r="Q35" s="143"/>
      <c r="R35" s="143"/>
      <c r="S35" s="143"/>
      <c r="T35" s="143"/>
      <c r="U35" s="143"/>
      <c r="V35" s="143"/>
      <c r="W35" s="143"/>
      <c r="X35" s="143"/>
      <c r="Y35" s="143"/>
      <c r="Z35" s="10"/>
      <c r="AA35" s="100"/>
      <c r="AB35" s="26"/>
      <c r="AC35" s="26"/>
      <c r="AD35" s="26"/>
      <c r="AE35" s="26"/>
      <c r="AF35" s="26"/>
      <c r="AG35" s="26"/>
      <c r="AH35" s="26"/>
      <c r="AI35" s="26"/>
      <c r="AJ35" s="26"/>
      <c r="AK35" s="26"/>
      <c r="AL35" s="26"/>
      <c r="AM35" s="26"/>
      <c r="AN35" s="26"/>
      <c r="AO35" s="26"/>
      <c r="AP35" s="26"/>
      <c r="AQ35" s="26"/>
      <c r="AR35" s="5"/>
      <c r="AS35" s="5"/>
      <c r="AT35" s="5"/>
      <c r="AU35" s="5"/>
      <c r="AV35" s="5"/>
      <c r="AW35" s="5"/>
      <c r="AX35" s="5"/>
      <c r="AY35" s="5"/>
      <c r="AZ35" s="5"/>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5"/>
    </row>
    <row r="36" spans="1:243" ht="12" customHeight="1">
      <c r="A36" s="6"/>
      <c r="B36" s="146"/>
      <c r="C36" s="147"/>
      <c r="D36" s="147"/>
      <c r="E36" s="147"/>
      <c r="F36" s="148"/>
      <c r="G36" s="147"/>
      <c r="H36" s="147"/>
      <c r="I36" s="147"/>
      <c r="J36" s="147"/>
      <c r="K36" s="147"/>
      <c r="L36" s="147"/>
      <c r="M36" s="149"/>
      <c r="N36" s="150"/>
      <c r="O36" s="147"/>
      <c r="P36" s="147"/>
      <c r="Q36" s="147"/>
      <c r="R36" s="147"/>
      <c r="S36" s="147"/>
      <c r="T36" s="147"/>
      <c r="U36" s="147"/>
      <c r="V36" s="147"/>
      <c r="W36" s="147"/>
      <c r="X36" s="147"/>
      <c r="Y36" s="147"/>
      <c r="Z36" s="143"/>
      <c r="AA36" s="25"/>
      <c r="AB36" s="26"/>
      <c r="AC36" s="26"/>
      <c r="AD36" s="26"/>
      <c r="AE36" s="26"/>
      <c r="AF36" s="26"/>
      <c r="AG36" s="26"/>
      <c r="AH36" s="26"/>
      <c r="AI36" s="26"/>
      <c r="AJ36" s="26"/>
      <c r="AK36" s="26"/>
      <c r="AL36" s="26"/>
      <c r="AM36" s="26"/>
      <c r="AN36" s="26"/>
      <c r="AO36" s="26"/>
      <c r="AP36" s="26"/>
      <c r="AQ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row>
    <row r="37" spans="1:243" ht="19.5" customHeight="1">
      <c r="A37" s="151"/>
      <c r="B37" s="152" t="s">
        <v>8</v>
      </c>
      <c r="C37" s="153"/>
      <c r="D37" s="153"/>
      <c r="E37" s="153"/>
      <c r="F37" s="153"/>
      <c r="G37" s="153"/>
      <c r="H37" s="153"/>
      <c r="I37" s="153"/>
      <c r="J37" s="153"/>
      <c r="K37" s="153"/>
      <c r="L37" s="153"/>
      <c r="M37" s="154"/>
      <c r="N37" s="155"/>
      <c r="O37" s="156" t="str">
        <f>IF(ISBLANK(FLYET)," ","REVERS PLAN  "&amp;D7&amp;"-"&amp;D6)</f>
        <v> </v>
      </c>
      <c r="P37" s="157"/>
      <c r="Q37" s="157"/>
      <c r="R37" s="157"/>
      <c r="S37" s="157"/>
      <c r="T37" s="157"/>
      <c r="U37" s="158"/>
      <c r="V37" s="157"/>
      <c r="W37" s="157"/>
      <c r="X37" s="157"/>
      <c r="Y37" s="157"/>
      <c r="Z37" s="159"/>
      <c r="AA37" s="151"/>
      <c r="AB37" s="3"/>
      <c r="AC37" s="3"/>
      <c r="AD37" s="3"/>
      <c r="AE37" s="3"/>
      <c r="AF37" s="3"/>
      <c r="AG37" s="3"/>
      <c r="AH37" s="3"/>
      <c r="AI37" s="3"/>
      <c r="AJ37" s="3"/>
      <c r="AK37" s="3"/>
      <c r="AL37" s="3"/>
      <c r="AM37" s="3"/>
      <c r="AN37" s="3"/>
      <c r="AO37" s="3"/>
      <c r="AP37" s="3"/>
      <c r="AQ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row>
    <row r="38" spans="1:243" ht="24" customHeight="1">
      <c r="A38" s="27"/>
      <c r="B38" s="160" t="s">
        <v>153</v>
      </c>
      <c r="C38" s="161"/>
      <c r="D38" s="161"/>
      <c r="E38" s="161"/>
      <c r="F38" s="161"/>
      <c r="G38" s="161"/>
      <c r="H38" s="161"/>
      <c r="I38" s="161"/>
      <c r="J38" s="161"/>
      <c r="K38" s="161"/>
      <c r="L38" s="161"/>
      <c r="M38" s="164"/>
      <c r="N38" s="165"/>
      <c r="O38" s="32" t="s">
        <v>35</v>
      </c>
      <c r="P38" s="109" t="s">
        <v>38</v>
      </c>
      <c r="Q38" s="110"/>
      <c r="R38" s="110"/>
      <c r="S38" s="166"/>
      <c r="T38" s="166"/>
      <c r="U38" s="166"/>
      <c r="V38" s="167" t="s">
        <v>52</v>
      </c>
      <c r="W38" s="32" t="s">
        <v>57</v>
      </c>
      <c r="X38" s="32" t="s">
        <v>62</v>
      </c>
      <c r="Y38" s="32" t="s">
        <v>67</v>
      </c>
      <c r="Z38" s="41"/>
      <c r="AA38" s="25"/>
      <c r="AB38" s="26"/>
      <c r="AC38" s="26"/>
      <c r="AD38" s="26"/>
      <c r="AE38" s="26"/>
      <c r="AF38" s="26"/>
      <c r="AG38" s="26"/>
      <c r="AH38" s="26"/>
      <c r="AI38" s="26"/>
      <c r="AJ38" s="26"/>
      <c r="AK38" s="26"/>
      <c r="AL38" s="26"/>
      <c r="AM38" s="26"/>
      <c r="AN38" s="26"/>
      <c r="AO38" s="26"/>
      <c r="AP38" s="26"/>
      <c r="AQ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row>
    <row r="39" spans="1:243" ht="24" customHeight="1">
      <c r="A39" s="27"/>
      <c r="B39" s="168"/>
      <c r="C39" s="169"/>
      <c r="D39" s="169"/>
      <c r="E39" s="169"/>
      <c r="F39" s="169"/>
      <c r="G39" s="169"/>
      <c r="H39" s="169"/>
      <c r="I39" s="169"/>
      <c r="J39" s="169"/>
      <c r="K39" s="169"/>
      <c r="L39" s="169"/>
      <c r="M39" s="164"/>
      <c r="N39" s="165"/>
      <c r="O39" s="60" t="s">
        <v>14</v>
      </c>
      <c r="P39" s="120"/>
      <c r="Q39" s="121"/>
      <c r="R39" s="121"/>
      <c r="S39" s="170"/>
      <c r="T39" s="170"/>
      <c r="U39" s="170"/>
      <c r="V39" s="60" t="s">
        <v>53</v>
      </c>
      <c r="W39" s="60" t="s">
        <v>58</v>
      </c>
      <c r="X39" s="60" t="s">
        <v>58</v>
      </c>
      <c r="Y39" s="60" t="s">
        <v>58</v>
      </c>
      <c r="Z39" s="41"/>
      <c r="AA39" s="25"/>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row>
    <row r="40" spans="1:243" ht="24" customHeight="1">
      <c r="A40" s="27"/>
      <c r="B40" s="160" t="s">
        <v>154</v>
      </c>
      <c r="C40" s="171"/>
      <c r="D40" s="171"/>
      <c r="E40" s="161"/>
      <c r="F40" s="161"/>
      <c r="G40" s="161"/>
      <c r="H40" s="161"/>
      <c r="I40" s="161"/>
      <c r="J40" s="161"/>
      <c r="K40" s="161"/>
      <c r="L40" s="161"/>
      <c r="M40" s="164"/>
      <c r="N40" s="165"/>
      <c r="O40" s="326">
        <f>IF(C32*D32=0,"",Vindkorreksjon!U32+K32+L32)</f>
      </c>
      <c r="P40" s="275" t="str">
        <f>IF(ISBLANK(P32)," ",P32)</f>
        <v> </v>
      </c>
      <c r="Q40" s="276"/>
      <c r="R40" s="276"/>
      <c r="S40" s="277"/>
      <c r="T40" s="277"/>
      <c r="U40" s="277"/>
      <c r="V40" s="172" t="str">
        <f>IF(ISBLANK(V32)," ",V32)</f>
        <v> </v>
      </c>
      <c r="W40" s="131" t="str">
        <f>IF(ISBLANK(F32)," ",Vindkorreksjon!Z32/(24*60))</f>
        <v> </v>
      </c>
      <c r="X40" s="173"/>
      <c r="Y40" s="174"/>
      <c r="Z40" s="41"/>
      <c r="AA40" s="25"/>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row>
    <row r="41" spans="1:243" ht="24" customHeight="1">
      <c r="A41" s="27"/>
      <c r="B41" s="168"/>
      <c r="C41" s="169"/>
      <c r="D41" s="169"/>
      <c r="E41" s="169"/>
      <c r="F41" s="169"/>
      <c r="G41" s="169"/>
      <c r="H41" s="169"/>
      <c r="I41" s="169"/>
      <c r="J41" s="169"/>
      <c r="K41" s="169"/>
      <c r="L41" s="169"/>
      <c r="M41" s="164"/>
      <c r="N41" s="165"/>
      <c r="O41" s="326" t="str">
        <f>IF(C31*D31=0," ",Vindkorreksjon!U31+K31+L31)</f>
        <v> </v>
      </c>
      <c r="P41" s="275" t="str">
        <f>IF(ISBLANK(P31)," ",P31)</f>
        <v> </v>
      </c>
      <c r="Q41" s="276"/>
      <c r="R41" s="276"/>
      <c r="S41" s="277"/>
      <c r="T41" s="277"/>
      <c r="U41" s="277"/>
      <c r="V41" s="172" t="str">
        <f>IF(ISBLANK(V31)," ",V31)</f>
        <v> </v>
      </c>
      <c r="W41" s="131" t="str">
        <f>IF(ISBLANK(F31)," ",Vindkorreksjon!Z31/(24*60))</f>
        <v> </v>
      </c>
      <c r="X41" s="173"/>
      <c r="Y41" s="174"/>
      <c r="Z41" s="41"/>
      <c r="AA41" s="25"/>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row>
    <row r="42" spans="1:243" ht="24" customHeight="1">
      <c r="A42" s="27"/>
      <c r="B42" s="160" t="s">
        <v>9</v>
      </c>
      <c r="C42" s="161"/>
      <c r="D42" s="161"/>
      <c r="E42" s="161"/>
      <c r="F42" s="161"/>
      <c r="G42" s="161"/>
      <c r="H42" s="161"/>
      <c r="I42" s="161"/>
      <c r="J42" s="161"/>
      <c r="K42" s="161"/>
      <c r="L42" s="161"/>
      <c r="M42" s="164"/>
      <c r="N42" s="165"/>
      <c r="O42" s="326" t="str">
        <f>IF(C30*D30=0," ",Vindkorreksjon!U30+K30+L30)</f>
        <v> </v>
      </c>
      <c r="P42" s="275" t="str">
        <f>IF(ISBLANK(P30)," ",P30)</f>
        <v> </v>
      </c>
      <c r="Q42" s="276"/>
      <c r="R42" s="276"/>
      <c r="S42" s="277"/>
      <c r="T42" s="277"/>
      <c r="U42" s="277"/>
      <c r="V42" s="172" t="str">
        <f>IF(ISBLANK(V30)," ",V30)</f>
        <v> </v>
      </c>
      <c r="W42" s="131" t="str">
        <f>IF(ISBLANK(F30)," ",Vindkorreksjon!Z30/(24*60))</f>
        <v> </v>
      </c>
      <c r="X42" s="173"/>
      <c r="Y42" s="174"/>
      <c r="Z42" s="41"/>
      <c r="AA42" s="25"/>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row>
    <row r="43" spans="1:243" ht="24" customHeight="1">
      <c r="A43" s="27"/>
      <c r="B43" s="168"/>
      <c r="C43" s="169"/>
      <c r="D43" s="169"/>
      <c r="E43" s="169"/>
      <c r="F43" s="169"/>
      <c r="G43" s="169"/>
      <c r="H43" s="169"/>
      <c r="I43" s="169"/>
      <c r="J43" s="169"/>
      <c r="K43" s="169"/>
      <c r="L43" s="169"/>
      <c r="M43" s="164"/>
      <c r="N43" s="165"/>
      <c r="O43" s="326" t="str">
        <f>IF(C29*D29=0," ",Vindkorreksjon!U29+K29+L29)</f>
        <v> </v>
      </c>
      <c r="P43" s="275" t="str">
        <f>IF(ISBLANK(P29)," ",P29)</f>
        <v> </v>
      </c>
      <c r="Q43" s="276"/>
      <c r="R43" s="276"/>
      <c r="S43" s="277"/>
      <c r="T43" s="277"/>
      <c r="U43" s="277"/>
      <c r="V43" s="172" t="str">
        <f>IF(ISBLANK(V29)," ",V29)</f>
        <v> </v>
      </c>
      <c r="W43" s="131" t="str">
        <f>IF(ISBLANK(F29)," ",Vindkorreksjon!Z29/(24*60))</f>
        <v> </v>
      </c>
      <c r="X43" s="173"/>
      <c r="Y43" s="174"/>
      <c r="Z43" s="41"/>
      <c r="AA43" s="25"/>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row>
    <row r="44" spans="1:243" ht="24" customHeight="1">
      <c r="A44" s="27"/>
      <c r="B44" s="160" t="s">
        <v>10</v>
      </c>
      <c r="C44" s="171"/>
      <c r="D44" s="171"/>
      <c r="E44" s="161"/>
      <c r="F44" s="161"/>
      <c r="G44" s="161"/>
      <c r="H44" s="161"/>
      <c r="I44" s="161"/>
      <c r="J44" s="161"/>
      <c r="K44" s="161"/>
      <c r="L44" s="161"/>
      <c r="M44" s="164"/>
      <c r="N44" s="165"/>
      <c r="O44" s="326" t="str">
        <f>IF(C28*D28=0," ",Vindkorreksjon!U28+K28+L28)</f>
        <v> </v>
      </c>
      <c r="P44" s="275" t="str">
        <f>IF(ISBLANK(P28)," ",P28)</f>
        <v> </v>
      </c>
      <c r="Q44" s="276"/>
      <c r="R44" s="276"/>
      <c r="S44" s="277"/>
      <c r="T44" s="277"/>
      <c r="U44" s="277"/>
      <c r="V44" s="172" t="str">
        <f>IF(ISBLANK(V28)," ",V28)</f>
        <v> </v>
      </c>
      <c r="W44" s="131" t="str">
        <f>IF(ISBLANK(F28)," ",Vindkorreksjon!Z28/(24*60))</f>
        <v> </v>
      </c>
      <c r="X44" s="173"/>
      <c r="Y44" s="174"/>
      <c r="Z44" s="41"/>
      <c r="AA44" s="25"/>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row>
    <row r="45" spans="1:243" ht="24" customHeight="1">
      <c r="A45" s="27"/>
      <c r="B45" s="168"/>
      <c r="C45" s="169"/>
      <c r="D45" s="169"/>
      <c r="E45" s="169"/>
      <c r="F45" s="169"/>
      <c r="G45" s="169"/>
      <c r="H45" s="169"/>
      <c r="I45" s="169"/>
      <c r="J45" s="169"/>
      <c r="K45" s="169"/>
      <c r="L45" s="169"/>
      <c r="M45" s="164"/>
      <c r="N45" s="165"/>
      <c r="O45" s="326" t="str">
        <f>IF(C27*D27=0," ",Vindkorreksjon!U27+K27+L27)</f>
        <v> </v>
      </c>
      <c r="P45" s="275" t="str">
        <f>IF(ISBLANK(P27)," ",P27)</f>
        <v> </v>
      </c>
      <c r="Q45" s="276"/>
      <c r="R45" s="276"/>
      <c r="S45" s="277"/>
      <c r="T45" s="277"/>
      <c r="U45" s="277"/>
      <c r="V45" s="172" t="str">
        <f>IF(ISBLANK(V27)," ",V27)</f>
        <v> </v>
      </c>
      <c r="W45" s="131" t="str">
        <f>IF(ISBLANK(F27)," ",Vindkorreksjon!Z27/(24*60))</f>
        <v> </v>
      </c>
      <c r="X45" s="173"/>
      <c r="Y45" s="174"/>
      <c r="Z45" s="41"/>
      <c r="AA45" s="25"/>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row>
    <row r="46" spans="1:243" ht="24" customHeight="1">
      <c r="A46" s="27"/>
      <c r="B46" s="160" t="s">
        <v>155</v>
      </c>
      <c r="C46" s="171"/>
      <c r="D46" s="171"/>
      <c r="E46" s="171"/>
      <c r="F46" s="171"/>
      <c r="G46" s="171"/>
      <c r="H46" s="171"/>
      <c r="I46" s="171"/>
      <c r="J46" s="171"/>
      <c r="K46" s="171"/>
      <c r="L46" s="171"/>
      <c r="M46" s="164"/>
      <c r="N46" s="165"/>
      <c r="O46" s="327" t="str">
        <f>IF(C26*D26=0," ",Vindkorreksjon!U26+K26+L26)</f>
        <v> </v>
      </c>
      <c r="P46" s="275" t="str">
        <f>IF(ISBLANK(P26)," ",P26)</f>
        <v> </v>
      </c>
      <c r="Q46" s="276"/>
      <c r="R46" s="276"/>
      <c r="S46" s="277"/>
      <c r="T46" s="277"/>
      <c r="U46" s="277"/>
      <c r="V46" s="172" t="str">
        <f>IF(ISBLANK(V26)," ",V26)</f>
        <v> </v>
      </c>
      <c r="W46" s="131" t="str">
        <f>IF(ISBLANK(F26)," ",Vindkorreksjon!Z26/(24*60))</f>
        <v> </v>
      </c>
      <c r="X46" s="173"/>
      <c r="Y46" s="174"/>
      <c r="Z46" s="41"/>
      <c r="AA46" s="25"/>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row>
    <row r="47" spans="1:243" ht="24" customHeight="1">
      <c r="A47" s="27"/>
      <c r="B47" s="168"/>
      <c r="C47" s="183"/>
      <c r="D47" s="183"/>
      <c r="E47" s="183"/>
      <c r="F47" s="183"/>
      <c r="G47" s="183"/>
      <c r="H47" s="183"/>
      <c r="I47" s="183"/>
      <c r="J47" s="183"/>
      <c r="K47" s="183"/>
      <c r="L47" s="183"/>
      <c r="M47" s="164"/>
      <c r="N47" s="165"/>
      <c r="O47" s="327" t="str">
        <f>IF(C25*D25=0," ",Vindkorreksjon!U25+K25+L25)</f>
        <v> </v>
      </c>
      <c r="P47" s="275" t="str">
        <f>IF(ISBLANK(P25)," ",P25)</f>
        <v> </v>
      </c>
      <c r="Q47" s="276"/>
      <c r="R47" s="276"/>
      <c r="S47" s="277"/>
      <c r="T47" s="277"/>
      <c r="U47" s="277"/>
      <c r="V47" s="172" t="str">
        <f>IF(ISBLANK(V25)," ",V25)</f>
        <v> </v>
      </c>
      <c r="W47" s="131" t="str">
        <f>IF(ISBLANK(F25)," ",Vindkorreksjon!Z25/(24*60))</f>
        <v> </v>
      </c>
      <c r="X47" s="173"/>
      <c r="Y47" s="174"/>
      <c r="Z47" s="41"/>
      <c r="AA47" s="25"/>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row>
    <row r="48" spans="1:243" ht="24" customHeight="1">
      <c r="A48" s="27"/>
      <c r="B48" s="160" t="s">
        <v>11</v>
      </c>
      <c r="C48" s="161"/>
      <c r="D48" s="161"/>
      <c r="E48" s="161"/>
      <c r="F48" s="161"/>
      <c r="G48" s="161"/>
      <c r="H48" s="161"/>
      <c r="I48" s="161"/>
      <c r="J48" s="161"/>
      <c r="K48" s="161"/>
      <c r="L48" s="161"/>
      <c r="M48" s="164"/>
      <c r="N48" s="165"/>
      <c r="O48" s="327" t="str">
        <f>IF(C24*D24=0," ",Vindkorreksjon!U24+K24+L24)</f>
        <v> </v>
      </c>
      <c r="P48" s="275" t="str">
        <f>IF(ISBLANK(P24)," ",P24)</f>
        <v> </v>
      </c>
      <c r="Q48" s="276"/>
      <c r="R48" s="276"/>
      <c r="S48" s="277"/>
      <c r="T48" s="277"/>
      <c r="U48" s="277"/>
      <c r="V48" s="172" t="str">
        <f>IF(ISBLANK(V24)," ",V24)</f>
        <v> </v>
      </c>
      <c r="W48" s="131" t="str">
        <f>IF(ISBLANK(F24)," ",Vindkorreksjon!Z24/(24*60))</f>
        <v> </v>
      </c>
      <c r="X48" s="173"/>
      <c r="Y48" s="174"/>
      <c r="Z48" s="41"/>
      <c r="AA48" s="25"/>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row>
    <row r="49" spans="1:243" ht="24" customHeight="1">
      <c r="A49" s="27"/>
      <c r="B49" s="168"/>
      <c r="C49" s="169"/>
      <c r="D49" s="169"/>
      <c r="E49" s="169"/>
      <c r="F49" s="169"/>
      <c r="G49" s="169"/>
      <c r="H49" s="169"/>
      <c r="I49" s="169"/>
      <c r="J49" s="169"/>
      <c r="K49" s="169"/>
      <c r="L49" s="169"/>
      <c r="M49" s="164"/>
      <c r="N49" s="165"/>
      <c r="O49" s="327" t="str">
        <f>IF(C23*D23=0," ",Vindkorreksjon!U23+K23+L23)</f>
        <v> </v>
      </c>
      <c r="P49" s="275" t="str">
        <f>IF(ISBLANK(P23)," ",P23)</f>
        <v> </v>
      </c>
      <c r="Q49" s="276"/>
      <c r="R49" s="276"/>
      <c r="S49" s="277"/>
      <c r="T49" s="277"/>
      <c r="U49" s="277"/>
      <c r="V49" s="172" t="str">
        <f>IF(ISBLANK(V23)," ",V23)</f>
        <v> </v>
      </c>
      <c r="W49" s="131" t="str">
        <f>IF(ISBLANK(F23)," ",Vindkorreksjon!Z23/(24*60))</f>
        <v> </v>
      </c>
      <c r="X49" s="173"/>
      <c r="Y49" s="174"/>
      <c r="Z49" s="41"/>
      <c r="AA49" s="25"/>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row>
    <row r="50" spans="1:243" ht="24" customHeight="1">
      <c r="A50" s="27"/>
      <c r="B50" s="156" t="s">
        <v>12</v>
      </c>
      <c r="C50" s="157"/>
      <c r="D50" s="157"/>
      <c r="E50" s="157"/>
      <c r="F50" s="157"/>
      <c r="G50" s="157"/>
      <c r="H50" s="158"/>
      <c r="I50" s="157"/>
      <c r="J50" s="157"/>
      <c r="K50" s="157"/>
      <c r="L50" s="157"/>
      <c r="M50" s="164"/>
      <c r="N50" s="165"/>
      <c r="O50" s="327" t="str">
        <f>IF(C22*D22=0," ",Vindkorreksjon!U22+K22+L22)</f>
        <v> </v>
      </c>
      <c r="P50" s="275" t="str">
        <f>IF(ISBLANK(P22)," ",P22)</f>
        <v> </v>
      </c>
      <c r="Q50" s="276"/>
      <c r="R50" s="276"/>
      <c r="S50" s="277"/>
      <c r="T50" s="277"/>
      <c r="U50" s="277"/>
      <c r="V50" s="172" t="str">
        <f>IF(ISBLANK(V22)," ",V22)</f>
        <v> </v>
      </c>
      <c r="W50" s="131" t="str">
        <f>IF(ISBLANK(F22)," ",Vindkorreksjon!Z22/(24*60))</f>
        <v> </v>
      </c>
      <c r="X50" s="173"/>
      <c r="Y50" s="174"/>
      <c r="Z50" s="41"/>
      <c r="AA50" s="25"/>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row>
    <row r="51" spans="1:243" ht="24" customHeight="1">
      <c r="A51" s="27"/>
      <c r="B51" s="141"/>
      <c r="C51" s="184"/>
      <c r="D51" s="184"/>
      <c r="E51" s="184"/>
      <c r="F51" s="184"/>
      <c r="G51" s="184"/>
      <c r="H51" s="184"/>
      <c r="I51" s="184"/>
      <c r="J51" s="184"/>
      <c r="K51" s="184"/>
      <c r="L51" s="47"/>
      <c r="M51" s="164"/>
      <c r="N51" s="165"/>
      <c r="O51" s="327" t="str">
        <f>IF(C21*D21=0," ",Vindkorreksjon!U21+K21+L21)</f>
        <v> </v>
      </c>
      <c r="P51" s="275" t="str">
        <f>IF(ISBLANK(P21)," ",P21)</f>
        <v> </v>
      </c>
      <c r="Q51" s="276"/>
      <c r="R51" s="276"/>
      <c r="S51" s="277"/>
      <c r="T51" s="277"/>
      <c r="U51" s="277"/>
      <c r="V51" s="172" t="str">
        <f>IF(ISBLANK(V21)," ",V21)</f>
        <v> </v>
      </c>
      <c r="W51" s="131" t="str">
        <f>IF(ISBLANK(F21)," ",Vindkorreksjon!Z21/(24*60))</f>
        <v> </v>
      </c>
      <c r="X51" s="173"/>
      <c r="Y51" s="174"/>
      <c r="Z51" s="41"/>
      <c r="AA51" s="25"/>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row>
    <row r="52" spans="1:243" ht="21" customHeight="1">
      <c r="A52" s="27"/>
      <c r="B52" s="185"/>
      <c r="M52" s="164"/>
      <c r="N52" s="165"/>
      <c r="O52" s="325"/>
      <c r="P52" s="186"/>
      <c r="Q52" s="186"/>
      <c r="R52" s="187"/>
      <c r="S52" s="188"/>
      <c r="T52" s="188"/>
      <c r="U52" s="187" t="s">
        <v>157</v>
      </c>
      <c r="V52" s="189" t="str">
        <f>IF(SUMPRODUCT(V40:V51)&gt;0,SUM(V40:V51)," ")</f>
        <v> </v>
      </c>
      <c r="W52" s="190" t="str">
        <f>IF(SUMPRODUCT(W40:W51)&gt;0,SUM(W40:W51)," ")</f>
        <v> </v>
      </c>
      <c r="X52" s="191"/>
      <c r="Y52" s="192"/>
      <c r="Z52" s="41"/>
      <c r="AA52" s="25"/>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row>
    <row r="53" spans="1:243" ht="22.5" customHeight="1">
      <c r="A53" s="27"/>
      <c r="B53" s="185"/>
      <c r="M53" s="164"/>
      <c r="N53" s="165"/>
      <c r="O53" s="193"/>
      <c r="P53" s="194"/>
      <c r="Q53" s="194"/>
      <c r="R53" s="194"/>
      <c r="S53" s="195"/>
      <c r="T53" s="195"/>
      <c r="U53" s="195"/>
      <c r="V53" s="196"/>
      <c r="W53" s="196"/>
      <c r="X53" s="195"/>
      <c r="Y53" s="195"/>
      <c r="Z53" s="41"/>
      <c r="AA53" s="25"/>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row>
    <row r="54" spans="1:243" ht="27.75" customHeight="1">
      <c r="A54" s="27"/>
      <c r="B54" s="185"/>
      <c r="M54" s="197"/>
      <c r="N54" s="198"/>
      <c r="O54" s="199"/>
      <c r="P54" s="81"/>
      <c r="Q54" s="81"/>
      <c r="R54" s="81"/>
      <c r="S54" s="81"/>
      <c r="T54" s="81"/>
      <c r="U54" s="81"/>
      <c r="V54" s="81"/>
      <c r="W54" s="81"/>
      <c r="X54" s="81"/>
      <c r="Y54" s="81"/>
      <c r="Z54" s="41"/>
      <c r="AA54" s="25"/>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row>
    <row r="55" spans="1:243" ht="27.75" customHeight="1">
      <c r="A55" s="27"/>
      <c r="B55" s="185"/>
      <c r="M55" s="197"/>
      <c r="N55" s="198"/>
      <c r="O55" s="199"/>
      <c r="P55" s="81"/>
      <c r="Q55" s="81"/>
      <c r="R55" s="81"/>
      <c r="S55" s="81"/>
      <c r="T55" s="81"/>
      <c r="U55" s="81"/>
      <c r="V55" s="81"/>
      <c r="W55" s="81"/>
      <c r="X55" s="81"/>
      <c r="Y55" s="81"/>
      <c r="Z55" s="41"/>
      <c r="AA55" s="25"/>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row>
    <row r="56" spans="1:243" ht="27.75" customHeight="1">
      <c r="A56" s="27"/>
      <c r="B56" s="185"/>
      <c r="M56" s="197"/>
      <c r="N56" s="198"/>
      <c r="O56" s="199"/>
      <c r="P56" s="81"/>
      <c r="Q56" s="81"/>
      <c r="R56" s="81"/>
      <c r="S56" s="81"/>
      <c r="T56" s="81"/>
      <c r="U56" s="81"/>
      <c r="V56" s="81"/>
      <c r="W56" s="81"/>
      <c r="X56" s="81"/>
      <c r="Y56" s="81"/>
      <c r="Z56" s="41"/>
      <c r="AA56" s="25"/>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row>
    <row r="57" spans="1:243" ht="27.75" customHeight="1">
      <c r="A57" s="27"/>
      <c r="B57" s="185"/>
      <c r="M57" s="197"/>
      <c r="N57" s="198"/>
      <c r="O57" s="199"/>
      <c r="P57" s="81"/>
      <c r="Q57" s="81"/>
      <c r="R57" s="81"/>
      <c r="S57" s="81"/>
      <c r="T57" s="81"/>
      <c r="U57" s="81"/>
      <c r="V57" s="81"/>
      <c r="W57" s="81"/>
      <c r="X57" s="81"/>
      <c r="Y57" s="81"/>
      <c r="Z57" s="41"/>
      <c r="AA57" s="25"/>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row>
    <row r="58" spans="1:243" ht="27.75" customHeight="1">
      <c r="A58" s="27"/>
      <c r="B58" s="185"/>
      <c r="M58" s="200"/>
      <c r="N58" s="201"/>
      <c r="O58" s="202"/>
      <c r="P58" s="203"/>
      <c r="Q58" s="203"/>
      <c r="R58" s="203"/>
      <c r="S58" s="210"/>
      <c r="T58" s="210"/>
      <c r="U58" s="210"/>
      <c r="V58" s="210"/>
      <c r="W58" s="210"/>
      <c r="X58" s="210"/>
      <c r="Y58" s="210"/>
      <c r="Z58" s="41"/>
      <c r="AA58" s="25"/>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row>
    <row r="59" spans="1:243" ht="27.75" customHeight="1">
      <c r="A59" s="27"/>
      <c r="B59" s="185"/>
      <c r="M59" s="211"/>
      <c r="N59" s="212"/>
      <c r="O59" s="193"/>
      <c r="P59" s="213"/>
      <c r="Q59" s="213"/>
      <c r="R59" s="213"/>
      <c r="S59" s="214"/>
      <c r="T59" s="214"/>
      <c r="U59" s="214"/>
      <c r="V59" s="214"/>
      <c r="W59" s="214"/>
      <c r="X59" s="214"/>
      <c r="Y59" s="214"/>
      <c r="Z59" s="41"/>
      <c r="AA59" s="25"/>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row>
    <row r="60" spans="1:243" ht="22.5" customHeight="1">
      <c r="A60" s="27"/>
      <c r="B60" s="185"/>
      <c r="M60" s="164"/>
      <c r="N60" s="165"/>
      <c r="O60" s="215"/>
      <c r="P60" s="216"/>
      <c r="Q60" s="216"/>
      <c r="R60" s="216"/>
      <c r="S60" s="216"/>
      <c r="T60" s="216"/>
      <c r="U60" s="216"/>
      <c r="V60" s="216"/>
      <c r="W60" s="216"/>
      <c r="X60" s="216"/>
      <c r="Y60" s="216"/>
      <c r="Z60" s="41"/>
      <c r="AA60" s="25"/>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row>
    <row r="61" spans="1:243" ht="22.5" customHeight="1">
      <c r="A61" s="27"/>
      <c r="B61" s="185"/>
      <c r="M61" s="164"/>
      <c r="N61" s="165"/>
      <c r="O61" s="215"/>
      <c r="P61" s="216"/>
      <c r="Q61" s="216"/>
      <c r="R61" s="216"/>
      <c r="S61" s="216"/>
      <c r="T61" s="216"/>
      <c r="U61" s="216"/>
      <c r="V61" s="216"/>
      <c r="W61" s="216"/>
      <c r="X61" s="216"/>
      <c r="Y61" s="216"/>
      <c r="Z61" s="41"/>
      <c r="AA61" s="25"/>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row>
    <row r="62" spans="1:243" ht="22.5" customHeight="1">
      <c r="A62" s="27"/>
      <c r="B62" s="185"/>
      <c r="M62" s="164"/>
      <c r="N62" s="165"/>
      <c r="O62" s="215"/>
      <c r="P62" s="216"/>
      <c r="Q62" s="216"/>
      <c r="R62" s="216"/>
      <c r="S62" s="216"/>
      <c r="T62" s="216"/>
      <c r="U62" s="216"/>
      <c r="V62" s="216"/>
      <c r="W62" s="216"/>
      <c r="X62" s="216"/>
      <c r="Y62" s="216"/>
      <c r="Z62" s="41"/>
      <c r="AA62" s="25"/>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row>
    <row r="63" spans="1:243" ht="22.5" customHeight="1">
      <c r="A63" s="27"/>
      <c r="B63" s="185"/>
      <c r="M63" s="164"/>
      <c r="N63" s="165"/>
      <c r="O63" s="215"/>
      <c r="P63" s="217"/>
      <c r="Q63" s="216"/>
      <c r="R63" s="216"/>
      <c r="S63" s="216"/>
      <c r="T63" s="216"/>
      <c r="U63" s="216"/>
      <c r="V63" s="216"/>
      <c r="W63" s="216"/>
      <c r="X63" s="216"/>
      <c r="Y63" s="216"/>
      <c r="Z63" s="41"/>
      <c r="AA63" s="25"/>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row>
    <row r="64" spans="1:243" ht="22.5" customHeight="1">
      <c r="A64" s="27"/>
      <c r="B64" s="185"/>
      <c r="M64" s="164"/>
      <c r="N64" s="165"/>
      <c r="O64" s="215"/>
      <c r="P64" s="218"/>
      <c r="Q64" s="216"/>
      <c r="R64" s="216"/>
      <c r="S64" s="216"/>
      <c r="T64" s="216"/>
      <c r="U64" s="216"/>
      <c r="V64" s="216"/>
      <c r="W64" s="216"/>
      <c r="X64" s="216"/>
      <c r="Y64" s="216"/>
      <c r="Z64" s="41"/>
      <c r="AA64" s="25"/>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row>
    <row r="65" spans="1:243" ht="18.75" customHeight="1">
      <c r="A65" s="27"/>
      <c r="B65" s="185"/>
      <c r="M65" s="164"/>
      <c r="N65" s="165"/>
      <c r="O65" s="215"/>
      <c r="P65" s="216"/>
      <c r="Q65" s="216"/>
      <c r="R65" s="216"/>
      <c r="S65" s="216"/>
      <c r="T65" s="216"/>
      <c r="U65" s="216"/>
      <c r="V65" s="219"/>
      <c r="W65" s="219"/>
      <c r="X65" s="219"/>
      <c r="Y65" s="219"/>
      <c r="Z65" s="41"/>
      <c r="AA65" s="25"/>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row>
    <row r="66" spans="1:243" ht="18.75" customHeight="1">
      <c r="A66" s="27"/>
      <c r="B66" s="185"/>
      <c r="M66" s="164"/>
      <c r="N66" s="165"/>
      <c r="O66" s="215"/>
      <c r="P66" s="216"/>
      <c r="Q66" s="216"/>
      <c r="R66" s="216"/>
      <c r="S66" s="216"/>
      <c r="T66" s="216"/>
      <c r="U66" s="216"/>
      <c r="V66" s="220" t="s">
        <v>158</v>
      </c>
      <c r="W66" s="221"/>
      <c r="X66" s="221"/>
      <c r="Y66" s="221"/>
      <c r="Z66" s="41"/>
      <c r="AA66" s="25"/>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row>
    <row r="67" spans="1:243" ht="18.75" customHeight="1">
      <c r="A67" s="27"/>
      <c r="B67" s="185"/>
      <c r="M67" s="164"/>
      <c r="N67" s="165"/>
      <c r="O67" s="215"/>
      <c r="P67" s="216"/>
      <c r="Q67" s="216"/>
      <c r="R67" s="216"/>
      <c r="S67" s="216"/>
      <c r="T67" s="216"/>
      <c r="U67" s="216"/>
      <c r="V67" s="222" t="s">
        <v>159</v>
      </c>
      <c r="W67" s="223"/>
      <c r="X67" s="224" t="s">
        <v>63</v>
      </c>
      <c r="Y67" s="223"/>
      <c r="Z67" s="41"/>
      <c r="AA67" s="25"/>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row>
    <row r="68" spans="1:243" ht="18.75" customHeight="1">
      <c r="A68" s="27"/>
      <c r="B68" s="185"/>
      <c r="M68" s="164"/>
      <c r="N68" s="165"/>
      <c r="O68" s="215"/>
      <c r="P68" s="216"/>
      <c r="Q68" s="216"/>
      <c r="R68" s="216"/>
      <c r="S68" s="216"/>
      <c r="T68" s="216"/>
      <c r="U68" s="216"/>
      <c r="V68" s="225" t="s">
        <v>160</v>
      </c>
      <c r="W68" s="223"/>
      <c r="X68" s="226" t="s">
        <v>64</v>
      </c>
      <c r="Y68" s="223"/>
      <c r="Z68" s="41"/>
      <c r="AA68" s="25"/>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row>
    <row r="69" spans="1:243" ht="18.75" customHeight="1">
      <c r="A69" s="27"/>
      <c r="B69" s="185"/>
      <c r="M69" s="164"/>
      <c r="N69" s="165"/>
      <c r="O69" s="215"/>
      <c r="P69" s="216"/>
      <c r="Q69" s="216"/>
      <c r="R69" s="216"/>
      <c r="S69" s="216"/>
      <c r="T69" s="216"/>
      <c r="U69" s="216"/>
      <c r="V69" s="225" t="s">
        <v>54</v>
      </c>
      <c r="W69" s="223"/>
      <c r="X69" s="226" t="s">
        <v>161</v>
      </c>
      <c r="Y69" s="223"/>
      <c r="Z69" s="41"/>
      <c r="AA69" s="25"/>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row>
    <row r="70" spans="1:243" ht="9" customHeight="1">
      <c r="A70" s="27"/>
      <c r="B70" s="21"/>
      <c r="C70" s="22"/>
      <c r="D70" s="22"/>
      <c r="E70" s="22"/>
      <c r="F70" s="22"/>
      <c r="G70" s="22"/>
      <c r="H70" s="22"/>
      <c r="I70" s="22"/>
      <c r="J70" s="22"/>
      <c r="K70" s="22"/>
      <c r="L70" s="22"/>
      <c r="M70" s="4"/>
      <c r="N70" s="4"/>
      <c r="O70" s="22"/>
      <c r="P70" s="22"/>
      <c r="Q70" s="22"/>
      <c r="R70" s="22"/>
      <c r="S70" s="22"/>
      <c r="T70" s="22"/>
      <c r="U70" s="22"/>
      <c r="V70" s="22"/>
      <c r="W70" s="22"/>
      <c r="X70" s="22"/>
      <c r="Y70" s="22"/>
      <c r="Z70" s="100"/>
      <c r="AA70" s="25"/>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row>
    <row r="71" spans="1:243" ht="15">
      <c r="A71" s="10"/>
      <c r="B71" s="10"/>
      <c r="C71" s="143"/>
      <c r="D71" s="143"/>
      <c r="E71" s="143"/>
      <c r="F71" s="143"/>
      <c r="G71" s="143"/>
      <c r="H71" s="143"/>
      <c r="I71" s="143"/>
      <c r="J71" s="143"/>
      <c r="K71" s="143"/>
      <c r="L71" s="143"/>
      <c r="M71" s="10"/>
      <c r="N71" s="10"/>
      <c r="O71" s="143"/>
      <c r="P71" s="143"/>
      <c r="Q71" s="143"/>
      <c r="R71" s="143"/>
      <c r="S71" s="143"/>
      <c r="T71" s="143"/>
      <c r="U71" s="143"/>
      <c r="V71" s="143"/>
      <c r="W71" s="143"/>
      <c r="X71" s="143"/>
      <c r="Y71" s="143"/>
      <c r="Z71" s="143"/>
      <c r="AA71" s="100"/>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row>
    <row r="72" spans="1:243" ht="15">
      <c r="A72" s="4"/>
      <c r="B72" s="4"/>
      <c r="C72" s="100"/>
      <c r="D72" s="100"/>
      <c r="E72" s="100"/>
      <c r="F72" s="100"/>
      <c r="G72" s="100"/>
      <c r="H72" s="100"/>
      <c r="I72" s="100"/>
      <c r="J72" s="100"/>
      <c r="K72" s="100"/>
      <c r="L72" s="100"/>
      <c r="M72" s="4"/>
      <c r="N72" s="4"/>
      <c r="O72" s="100"/>
      <c r="P72" s="100"/>
      <c r="Q72" s="100"/>
      <c r="R72" s="100"/>
      <c r="S72" s="100"/>
      <c r="T72" s="100"/>
      <c r="U72" s="100"/>
      <c r="V72" s="100"/>
      <c r="W72" s="100"/>
      <c r="X72" s="100"/>
      <c r="Y72" s="100"/>
      <c r="Z72" s="100"/>
      <c r="AA72" s="100"/>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row>
    <row r="73" spans="3:243" ht="15">
      <c r="C73" s="26"/>
      <c r="D73" s="26"/>
      <c r="E73" s="26"/>
      <c r="F73" s="26"/>
      <c r="G73" s="26"/>
      <c r="H73" s="26"/>
      <c r="I73" s="26"/>
      <c r="J73" s="26"/>
      <c r="K73" s="26"/>
      <c r="L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row>
    <row r="74" spans="3:243" ht="15">
      <c r="C74" s="26"/>
      <c r="D74" s="26"/>
      <c r="E74" s="26"/>
      <c r="F74" s="26"/>
      <c r="G74" s="26"/>
      <c r="H74" s="26"/>
      <c r="I74" s="26"/>
      <c r="J74" s="26"/>
      <c r="K74" s="26"/>
      <c r="L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row>
    <row r="75" spans="3:243" ht="15">
      <c r="C75" s="26"/>
      <c r="D75" s="26"/>
      <c r="E75" s="26"/>
      <c r="F75" s="26"/>
      <c r="G75" s="26"/>
      <c r="H75" s="26"/>
      <c r="I75" s="26"/>
      <c r="J75" s="26"/>
      <c r="K75" s="26"/>
      <c r="L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row>
  </sheetData>
  <sheetProtection sheet="1" objects="1" scenarios="1"/>
  <printOptions horizontalCentered="1" verticalCentered="1"/>
  <pageMargins left="0.2" right="0.28" top="0.1968503937007874" bottom="0.2" header="0" footer="0"/>
  <pageSetup fitToWidth="2" horizontalDpi="600" verticalDpi="600" orientation="landscape" paperSize="9" scale="65" r:id="rId2"/>
  <rowBreaks count="1" manualBreakCount="1">
    <brk id="35" max="255" man="1"/>
  </rowBreaks>
  <colBreaks count="1" manualBreakCount="1">
    <brk id="27" max="0" man="1"/>
  </colBreaks>
  <drawing r:id="rId1"/>
</worksheet>
</file>

<file path=xl/worksheets/sheet3.xml><?xml version="1.0" encoding="utf-8"?>
<worksheet xmlns="http://schemas.openxmlformats.org/spreadsheetml/2006/main" xmlns:r="http://schemas.openxmlformats.org/officeDocument/2006/relationships">
  <dimension ref="A1:AY109"/>
  <sheetViews>
    <sheetView showGridLines="0" showOutlineSymbols="0" zoomScale="60" zoomScaleNormal="60" workbookViewId="0" topLeftCell="A1">
      <selection activeCell="S8" sqref="S8"/>
    </sheetView>
  </sheetViews>
  <sheetFormatPr defaultColWidth="8.88671875" defaultRowHeight="15"/>
  <cols>
    <col min="1" max="1" width="6.6640625" style="282" customWidth="1"/>
    <col min="2" max="2" width="9.6640625" style="282" customWidth="1"/>
    <col min="3" max="3" width="15.6640625" style="236" customWidth="1"/>
    <col min="4" max="4" width="9.6640625" style="236" customWidth="1"/>
    <col min="5" max="5" width="3.6640625" style="236" customWidth="1"/>
    <col min="6" max="6" width="24.6640625" style="236" customWidth="1"/>
    <col min="7" max="7" width="7.6640625" style="236" customWidth="1"/>
    <col min="8" max="13" width="8.6640625" style="266" customWidth="1"/>
    <col min="14" max="14" width="7.6640625" style="236" customWidth="1"/>
    <col min="15" max="15" width="8.6640625" style="236" customWidth="1"/>
    <col min="16" max="16" width="3.6640625" style="236" customWidth="1"/>
    <col min="17" max="18" width="9.6640625" style="236" customWidth="1"/>
    <col min="19" max="19" width="11.6640625" style="236" customWidth="1"/>
    <col min="20" max="20" width="10.6640625" style="236" customWidth="1"/>
    <col min="21" max="30" width="9.6640625" style="236" customWidth="1"/>
    <col min="31" max="31" width="24.6640625" style="236" customWidth="1"/>
    <col min="32" max="16384" width="9.6640625" style="236" customWidth="1"/>
  </cols>
  <sheetData>
    <row r="1" spans="1:32" ht="19.5" customHeight="1">
      <c r="A1" s="227" t="s">
        <v>68</v>
      </c>
      <c r="B1" s="344"/>
      <c r="C1" s="347"/>
      <c r="D1" s="347"/>
      <c r="E1" s="228"/>
      <c r="F1" s="227" t="s">
        <v>167</v>
      </c>
      <c r="G1" s="229"/>
      <c r="H1" s="230"/>
      <c r="I1" s="230"/>
      <c r="J1" s="230"/>
      <c r="K1" s="230"/>
      <c r="L1" s="230"/>
      <c r="M1" s="230"/>
      <c r="N1" s="229"/>
      <c r="O1" s="229"/>
      <c r="P1" s="231"/>
      <c r="Q1" s="232" t="s">
        <v>167</v>
      </c>
      <c r="R1" s="233"/>
      <c r="S1" s="234"/>
      <c r="T1" s="234"/>
      <c r="U1" s="234"/>
      <c r="V1" s="234"/>
      <c r="W1" s="234"/>
      <c r="X1" s="234"/>
      <c r="Y1" s="234"/>
      <c r="Z1" s="232"/>
      <c r="AA1" s="234"/>
      <c r="AB1" s="232"/>
      <c r="AC1" s="232"/>
      <c r="AD1" s="232"/>
      <c r="AE1" s="234"/>
      <c r="AF1" s="235"/>
    </row>
    <row r="2" spans="1:32" ht="19.5" customHeight="1">
      <c r="A2" s="342" t="s">
        <v>69</v>
      </c>
      <c r="B2" s="345"/>
      <c r="C2" s="348"/>
      <c r="D2" s="348"/>
      <c r="E2" s="228"/>
      <c r="F2" s="237" t="s">
        <v>168</v>
      </c>
      <c r="G2" s="239"/>
      <c r="H2" s="240"/>
      <c r="I2" s="240"/>
      <c r="J2" s="240"/>
      <c r="K2" s="240"/>
      <c r="L2" s="240"/>
      <c r="M2" s="240"/>
      <c r="N2" s="239"/>
      <c r="O2" s="239"/>
      <c r="P2" s="231"/>
      <c r="Q2" s="241" t="s">
        <v>86</v>
      </c>
      <c r="R2" s="238"/>
      <c r="S2" s="239"/>
      <c r="T2" s="239"/>
      <c r="U2" s="239"/>
      <c r="V2" s="239"/>
      <c r="W2" s="239"/>
      <c r="X2" s="239"/>
      <c r="Y2" s="239"/>
      <c r="Z2" s="241"/>
      <c r="AA2" s="239"/>
      <c r="AB2" s="241"/>
      <c r="AC2" s="241"/>
      <c r="AD2" s="241"/>
      <c r="AE2" s="239"/>
      <c r="AF2" s="235"/>
    </row>
    <row r="3" spans="1:32" ht="19.5" customHeight="1">
      <c r="A3" s="242" t="s">
        <v>70</v>
      </c>
      <c r="B3" s="343">
        <v>0</v>
      </c>
      <c r="C3" s="346">
        <v>1</v>
      </c>
      <c r="D3" s="346">
        <v>2</v>
      </c>
      <c r="E3" s="228"/>
      <c r="F3" s="243"/>
      <c r="G3" s="244" t="s">
        <v>70</v>
      </c>
      <c r="H3" s="335">
        <v>0</v>
      </c>
      <c r="I3" s="335">
        <v>1</v>
      </c>
      <c r="J3" s="335">
        <v>2</v>
      </c>
      <c r="K3" s="335">
        <v>3</v>
      </c>
      <c r="L3" s="335">
        <v>4</v>
      </c>
      <c r="M3" s="335">
        <v>5</v>
      </c>
      <c r="N3" s="244">
        <v>6</v>
      </c>
      <c r="O3" s="244">
        <v>7</v>
      </c>
      <c r="P3" s="246"/>
      <c r="Q3" s="247" t="s">
        <v>70</v>
      </c>
      <c r="R3" s="248">
        <v>0</v>
      </c>
      <c r="S3" s="248">
        <v>1</v>
      </c>
      <c r="T3" s="248">
        <v>2</v>
      </c>
      <c r="U3" s="248">
        <v>3</v>
      </c>
      <c r="V3" s="248">
        <v>4</v>
      </c>
      <c r="W3" s="248">
        <v>5</v>
      </c>
      <c r="X3" s="248">
        <v>6</v>
      </c>
      <c r="Y3" s="248">
        <v>7</v>
      </c>
      <c r="Z3" s="248">
        <v>8</v>
      </c>
      <c r="AA3" s="248">
        <v>9</v>
      </c>
      <c r="AB3" s="248">
        <v>10</v>
      </c>
      <c r="AC3" s="248">
        <v>11</v>
      </c>
      <c r="AD3" s="248">
        <v>12</v>
      </c>
      <c r="AE3" s="248">
        <v>13</v>
      </c>
      <c r="AF3" s="235"/>
    </row>
    <row r="4" spans="1:39" ht="30" customHeight="1">
      <c r="A4" s="338" t="s">
        <v>71</v>
      </c>
      <c r="B4" s="340" t="s">
        <v>76</v>
      </c>
      <c r="C4" s="338" t="s">
        <v>78</v>
      </c>
      <c r="D4" s="338" t="s">
        <v>80</v>
      </c>
      <c r="E4" s="228"/>
      <c r="F4" s="244" t="s">
        <v>83</v>
      </c>
      <c r="G4" s="244" t="s">
        <v>34</v>
      </c>
      <c r="H4" s="245" t="s">
        <v>36</v>
      </c>
      <c r="I4" s="245" t="s">
        <v>171</v>
      </c>
      <c r="J4" s="245" t="s">
        <v>84</v>
      </c>
      <c r="K4" s="245" t="s">
        <v>172</v>
      </c>
      <c r="L4" s="245" t="s">
        <v>180</v>
      </c>
      <c r="M4" s="245" t="s">
        <v>47</v>
      </c>
      <c r="N4" s="244" t="s">
        <v>85</v>
      </c>
      <c r="O4" s="244" t="s">
        <v>55</v>
      </c>
      <c r="P4" s="246"/>
      <c r="Q4" s="249" t="s">
        <v>71</v>
      </c>
      <c r="R4" s="250" t="s">
        <v>87</v>
      </c>
      <c r="S4" s="251" t="s">
        <v>88</v>
      </c>
      <c r="T4" s="251" t="s">
        <v>173</v>
      </c>
      <c r="U4" s="251" t="s">
        <v>174</v>
      </c>
      <c r="V4" s="251" t="s">
        <v>89</v>
      </c>
      <c r="W4" s="251" t="s">
        <v>175</v>
      </c>
      <c r="X4" s="251" t="s">
        <v>176</v>
      </c>
      <c r="Y4" s="251" t="s">
        <v>177</v>
      </c>
      <c r="Z4" s="251" t="s">
        <v>178</v>
      </c>
      <c r="AA4" s="251" t="s">
        <v>179</v>
      </c>
      <c r="AB4" s="251" t="s">
        <v>91</v>
      </c>
      <c r="AC4" s="251" t="s">
        <v>92</v>
      </c>
      <c r="AD4" s="251" t="s">
        <v>93</v>
      </c>
      <c r="AE4" s="251" t="s">
        <v>96</v>
      </c>
      <c r="AF4" s="252"/>
      <c r="AG4" s="254"/>
      <c r="AH4" s="254"/>
      <c r="AI4" s="254"/>
      <c r="AJ4" s="254"/>
      <c r="AK4" s="254"/>
      <c r="AL4" s="254"/>
      <c r="AM4" s="254"/>
    </row>
    <row r="5" spans="1:51" ht="19.5" customHeight="1">
      <c r="A5" s="337" t="s">
        <v>183</v>
      </c>
      <c r="B5" s="339">
        <v>116.7</v>
      </c>
      <c r="C5" s="341" t="s">
        <v>181</v>
      </c>
      <c r="D5" s="341" t="s">
        <v>82</v>
      </c>
      <c r="E5" s="258"/>
      <c r="F5" s="257" t="s">
        <v>193</v>
      </c>
      <c r="G5" s="255" t="s">
        <v>194</v>
      </c>
      <c r="H5" s="263"/>
      <c r="I5" s="263"/>
      <c r="J5" s="263"/>
      <c r="K5" s="263">
        <v>122.22</v>
      </c>
      <c r="L5" s="263">
        <v>125.52</v>
      </c>
      <c r="M5" s="263"/>
      <c r="N5" s="263">
        <v>118</v>
      </c>
      <c r="O5" s="263">
        <v>3000</v>
      </c>
      <c r="P5" s="259"/>
      <c r="Q5" s="260" t="s">
        <v>133</v>
      </c>
      <c r="R5" s="261">
        <v>82</v>
      </c>
      <c r="S5" s="262">
        <v>1.915</v>
      </c>
      <c r="T5" s="261">
        <v>536</v>
      </c>
      <c r="U5" s="262">
        <v>1.868</v>
      </c>
      <c r="V5" s="262">
        <v>2.17</v>
      </c>
      <c r="W5" s="263" t="s">
        <v>90</v>
      </c>
      <c r="X5" s="261">
        <v>45</v>
      </c>
      <c r="Y5" s="262">
        <v>2.92</v>
      </c>
      <c r="Z5" s="261" t="s">
        <v>90</v>
      </c>
      <c r="AA5" s="262" t="s">
        <v>90</v>
      </c>
      <c r="AB5" s="263">
        <v>758</v>
      </c>
      <c r="AC5" s="263">
        <v>758</v>
      </c>
      <c r="AD5" s="263" t="s">
        <v>94</v>
      </c>
      <c r="AE5" s="264" t="s">
        <v>97</v>
      </c>
      <c r="AF5" s="265"/>
      <c r="AG5" s="266"/>
      <c r="AH5" s="266"/>
      <c r="AI5" s="266"/>
      <c r="AJ5" s="266"/>
      <c r="AK5" s="266"/>
      <c r="AL5" s="266"/>
      <c r="AM5" s="266"/>
      <c r="AN5" s="266"/>
      <c r="AO5" s="266"/>
      <c r="AP5" s="266"/>
      <c r="AQ5" s="266"/>
      <c r="AR5" s="266"/>
      <c r="AS5" s="266"/>
      <c r="AT5" s="266"/>
      <c r="AU5" s="266"/>
      <c r="AV5" s="266"/>
      <c r="AW5" s="266"/>
      <c r="AX5" s="266"/>
      <c r="AY5" s="266"/>
    </row>
    <row r="6" spans="1:51" ht="19.5" customHeight="1">
      <c r="A6" s="255" t="s">
        <v>283</v>
      </c>
      <c r="B6" s="256">
        <v>114.7</v>
      </c>
      <c r="C6" s="257" t="s">
        <v>284</v>
      </c>
      <c r="D6" s="257" t="s">
        <v>82</v>
      </c>
      <c r="E6" s="258"/>
      <c r="F6" s="257" t="s">
        <v>195</v>
      </c>
      <c r="G6" s="255" t="s">
        <v>196</v>
      </c>
      <c r="H6" s="263"/>
      <c r="I6" s="263">
        <v>129.47</v>
      </c>
      <c r="J6" s="263"/>
      <c r="K6" s="263"/>
      <c r="L6" s="263"/>
      <c r="M6" s="263"/>
      <c r="N6" s="263">
        <v>150</v>
      </c>
      <c r="O6" s="263">
        <v>3000</v>
      </c>
      <c r="P6" s="259"/>
      <c r="Q6" s="260" t="s">
        <v>134</v>
      </c>
      <c r="R6" s="261">
        <v>134</v>
      </c>
      <c r="S6" s="263">
        <v>1.217</v>
      </c>
      <c r="T6" s="261">
        <v>681</v>
      </c>
      <c r="U6" s="263">
        <v>1.038</v>
      </c>
      <c r="V6" s="263">
        <v>0.94</v>
      </c>
      <c r="W6" s="263">
        <v>1.85</v>
      </c>
      <c r="X6" s="261">
        <v>54</v>
      </c>
      <c r="Y6" s="263">
        <v>2.41</v>
      </c>
      <c r="Z6" s="261">
        <v>23</v>
      </c>
      <c r="AA6" s="263">
        <v>3.18</v>
      </c>
      <c r="AB6" s="263">
        <v>1090</v>
      </c>
      <c r="AC6" s="263">
        <v>953</v>
      </c>
      <c r="AD6" s="263" t="s">
        <v>95</v>
      </c>
      <c r="AE6" s="264" t="s">
        <v>98</v>
      </c>
      <c r="AF6" s="265"/>
      <c r="AG6" s="266"/>
      <c r="AH6" s="266"/>
      <c r="AI6" s="266"/>
      <c r="AJ6" s="266"/>
      <c r="AK6" s="266"/>
      <c r="AL6" s="266"/>
      <c r="AM6" s="266"/>
      <c r="AN6" s="266"/>
      <c r="AO6" s="266"/>
      <c r="AP6" s="266"/>
      <c r="AQ6" s="266"/>
      <c r="AR6" s="266"/>
      <c r="AS6" s="266"/>
      <c r="AT6" s="266"/>
      <c r="AU6" s="266"/>
      <c r="AV6" s="266"/>
      <c r="AW6" s="266"/>
      <c r="AX6" s="266"/>
      <c r="AY6" s="266"/>
    </row>
    <row r="7" spans="1:51" ht="19.5" customHeight="1">
      <c r="A7" s="255" t="s">
        <v>285</v>
      </c>
      <c r="B7" s="256">
        <v>114.9</v>
      </c>
      <c r="C7" s="257" t="s">
        <v>286</v>
      </c>
      <c r="D7" s="257" t="s">
        <v>82</v>
      </c>
      <c r="E7" s="258"/>
      <c r="F7" s="257" t="s">
        <v>199</v>
      </c>
      <c r="G7" s="255" t="s">
        <v>200</v>
      </c>
      <c r="H7" s="256">
        <v>118.77</v>
      </c>
      <c r="I7" s="256"/>
      <c r="J7" s="256">
        <v>119</v>
      </c>
      <c r="K7" s="256"/>
      <c r="L7" s="256">
        <v>127.57</v>
      </c>
      <c r="M7" s="256"/>
      <c r="N7" s="255">
        <v>247</v>
      </c>
      <c r="O7" s="255">
        <v>3000</v>
      </c>
      <c r="P7" s="259"/>
      <c r="Q7" s="260" t="s">
        <v>162</v>
      </c>
      <c r="R7" s="261">
        <v>142</v>
      </c>
      <c r="S7" s="263">
        <v>1.22</v>
      </c>
      <c r="T7" s="261">
        <v>684.94</v>
      </c>
      <c r="U7" s="263">
        <v>1.024</v>
      </c>
      <c r="V7" s="263">
        <v>0.94</v>
      </c>
      <c r="W7" s="263">
        <v>1.85</v>
      </c>
      <c r="X7" s="261"/>
      <c r="Y7" s="263">
        <v>2.41</v>
      </c>
      <c r="Z7" s="261"/>
      <c r="AA7" s="263" t="s">
        <v>90</v>
      </c>
      <c r="AB7" s="263">
        <v>1045</v>
      </c>
      <c r="AC7" s="263" t="s">
        <v>90</v>
      </c>
      <c r="AD7" s="263" t="s">
        <v>163</v>
      </c>
      <c r="AE7" s="264"/>
      <c r="AF7" s="265"/>
      <c r="AG7" s="266"/>
      <c r="AH7" s="266"/>
      <c r="AI7" s="266"/>
      <c r="AJ7" s="266"/>
      <c r="AK7" s="266"/>
      <c r="AL7" s="266"/>
      <c r="AM7" s="266"/>
      <c r="AN7" s="266"/>
      <c r="AO7" s="266"/>
      <c r="AP7" s="266"/>
      <c r="AQ7" s="266"/>
      <c r="AR7" s="266"/>
      <c r="AS7" s="266"/>
      <c r="AT7" s="266"/>
      <c r="AU7" s="266"/>
      <c r="AV7" s="266"/>
      <c r="AW7" s="266"/>
      <c r="AX7" s="266"/>
      <c r="AY7" s="266"/>
    </row>
    <row r="8" spans="1:51" ht="19.5" customHeight="1">
      <c r="A8" s="255" t="s">
        <v>215</v>
      </c>
      <c r="B8" s="256">
        <v>400.5</v>
      </c>
      <c r="C8" s="257" t="s">
        <v>216</v>
      </c>
      <c r="D8" s="257" t="s">
        <v>81</v>
      </c>
      <c r="E8" s="258"/>
      <c r="F8" s="257" t="s">
        <v>205</v>
      </c>
      <c r="G8" s="255" t="s">
        <v>206</v>
      </c>
      <c r="H8" s="256"/>
      <c r="I8" s="256"/>
      <c r="J8" s="256">
        <v>118.32</v>
      </c>
      <c r="K8" s="256"/>
      <c r="L8" s="256">
        <v>128.17</v>
      </c>
      <c r="M8" s="256"/>
      <c r="N8" s="255">
        <v>52</v>
      </c>
      <c r="O8" s="255">
        <v>3000</v>
      </c>
      <c r="P8" s="259"/>
      <c r="Q8" s="260"/>
      <c r="R8" s="261"/>
      <c r="S8" s="263"/>
      <c r="T8" s="261"/>
      <c r="U8" s="263"/>
      <c r="V8" s="263"/>
      <c r="W8" s="263"/>
      <c r="X8" s="261"/>
      <c r="Y8" s="263"/>
      <c r="Z8" s="261"/>
      <c r="AA8" s="263"/>
      <c r="AB8" s="263"/>
      <c r="AC8" s="263"/>
      <c r="AD8" s="263"/>
      <c r="AE8" s="264"/>
      <c r="AF8" s="265"/>
      <c r="AG8" s="266"/>
      <c r="AH8" s="266"/>
      <c r="AI8" s="266"/>
      <c r="AJ8" s="266"/>
      <c r="AK8" s="266"/>
      <c r="AL8" s="266"/>
      <c r="AM8" s="266"/>
      <c r="AN8" s="266"/>
      <c r="AO8" s="266"/>
      <c r="AP8" s="266"/>
      <c r="AQ8" s="266"/>
      <c r="AR8" s="266"/>
      <c r="AS8" s="266"/>
      <c r="AT8" s="266"/>
      <c r="AU8" s="266"/>
      <c r="AV8" s="266"/>
      <c r="AW8" s="266"/>
      <c r="AX8" s="266"/>
      <c r="AY8" s="266"/>
    </row>
    <row r="9" spans="1:51" ht="19.5" customHeight="1">
      <c r="A9" s="337" t="s">
        <v>201</v>
      </c>
      <c r="B9" s="339">
        <v>395</v>
      </c>
      <c r="C9" s="341" t="s">
        <v>202</v>
      </c>
      <c r="D9" s="341" t="s">
        <v>81</v>
      </c>
      <c r="E9" s="258"/>
      <c r="F9" s="257" t="s">
        <v>210</v>
      </c>
      <c r="G9" s="255" t="s">
        <v>209</v>
      </c>
      <c r="H9" s="256"/>
      <c r="I9" s="256">
        <v>127.07</v>
      </c>
      <c r="J9" s="256"/>
      <c r="K9" s="256"/>
      <c r="L9" s="256"/>
      <c r="M9" s="256"/>
      <c r="N9" s="255">
        <v>16</v>
      </c>
      <c r="O9" s="255">
        <v>3000</v>
      </c>
      <c r="P9" s="259"/>
      <c r="Q9" s="260"/>
      <c r="R9" s="261"/>
      <c r="S9" s="263"/>
      <c r="T9" s="261"/>
      <c r="U9" s="263"/>
      <c r="V9" s="263"/>
      <c r="W9" s="263"/>
      <c r="X9" s="261"/>
      <c r="Y9" s="263"/>
      <c r="Z9" s="261"/>
      <c r="AA9" s="263"/>
      <c r="AB9" s="263"/>
      <c r="AC9" s="263"/>
      <c r="AD9" s="263"/>
      <c r="AE9" s="264"/>
      <c r="AF9" s="265"/>
      <c r="AG9" s="266"/>
      <c r="AH9" s="266"/>
      <c r="AI9" s="266"/>
      <c r="AJ9" s="266"/>
      <c r="AK9" s="266"/>
      <c r="AL9" s="266"/>
      <c r="AM9" s="266"/>
      <c r="AN9" s="266"/>
      <c r="AO9" s="266"/>
      <c r="AP9" s="266"/>
      <c r="AQ9" s="266"/>
      <c r="AR9" s="266"/>
      <c r="AS9" s="266"/>
      <c r="AT9" s="266"/>
      <c r="AU9" s="266"/>
      <c r="AV9" s="266"/>
      <c r="AW9" s="266"/>
      <c r="AX9" s="266"/>
      <c r="AY9" s="266"/>
    </row>
    <row r="10" spans="1:51" ht="19.5" customHeight="1">
      <c r="A10" s="337" t="s">
        <v>287</v>
      </c>
      <c r="B10" s="339">
        <v>113.5</v>
      </c>
      <c r="C10" s="341" t="s">
        <v>288</v>
      </c>
      <c r="D10" s="341" t="s">
        <v>82</v>
      </c>
      <c r="E10" s="258"/>
      <c r="F10" s="257" t="s">
        <v>211</v>
      </c>
      <c r="G10" s="255" t="s">
        <v>212</v>
      </c>
      <c r="H10" s="256"/>
      <c r="I10" s="256"/>
      <c r="J10" s="256">
        <v>120.15</v>
      </c>
      <c r="K10" s="256"/>
      <c r="L10" s="256">
        <v>127.57</v>
      </c>
      <c r="M10" s="256">
        <v>120.15</v>
      </c>
      <c r="N10" s="255">
        <v>97</v>
      </c>
      <c r="O10" s="255">
        <v>3000</v>
      </c>
      <c r="P10" s="259"/>
      <c r="Q10" s="260"/>
      <c r="R10" s="261"/>
      <c r="S10" s="263"/>
      <c r="T10" s="261"/>
      <c r="U10" s="263"/>
      <c r="V10" s="263"/>
      <c r="W10" s="263"/>
      <c r="X10" s="261"/>
      <c r="Y10" s="263"/>
      <c r="Z10" s="261"/>
      <c r="AA10" s="263"/>
      <c r="AB10" s="263"/>
      <c r="AC10" s="263"/>
      <c r="AD10" s="263"/>
      <c r="AE10" s="264"/>
      <c r="AF10" s="265"/>
      <c r="AG10" s="266"/>
      <c r="AH10" s="266"/>
      <c r="AI10" s="266"/>
      <c r="AJ10" s="266"/>
      <c r="AK10" s="266"/>
      <c r="AL10" s="266"/>
      <c r="AM10" s="266"/>
      <c r="AN10" s="266"/>
      <c r="AO10" s="266"/>
      <c r="AP10" s="266"/>
      <c r="AQ10" s="266"/>
      <c r="AR10" s="266"/>
      <c r="AS10" s="266"/>
      <c r="AT10" s="266"/>
      <c r="AU10" s="266"/>
      <c r="AV10" s="266"/>
      <c r="AW10" s="266"/>
      <c r="AX10" s="266"/>
      <c r="AY10" s="266"/>
    </row>
    <row r="11" spans="1:51" ht="19.5" customHeight="1">
      <c r="A11" s="337" t="s">
        <v>184</v>
      </c>
      <c r="B11" s="339">
        <v>398</v>
      </c>
      <c r="C11" s="341" t="s">
        <v>185</v>
      </c>
      <c r="D11" s="341" t="s">
        <v>81</v>
      </c>
      <c r="E11" s="258"/>
      <c r="F11" s="257" t="s">
        <v>217</v>
      </c>
      <c r="G11" s="255" t="s">
        <v>218</v>
      </c>
      <c r="H11" s="256"/>
      <c r="I11" s="278"/>
      <c r="J11" s="256"/>
      <c r="K11" s="256"/>
      <c r="L11" s="256">
        <v>123.97</v>
      </c>
      <c r="M11" s="256"/>
      <c r="N11" s="255">
        <v>30</v>
      </c>
      <c r="O11" s="255">
        <v>3000</v>
      </c>
      <c r="P11" s="259"/>
      <c r="Q11" s="260"/>
      <c r="R11" s="261"/>
      <c r="S11" s="263"/>
      <c r="T11" s="261"/>
      <c r="U11" s="263"/>
      <c r="V11" s="263"/>
      <c r="W11" s="263"/>
      <c r="X11" s="261"/>
      <c r="Y11" s="263"/>
      <c r="Z11" s="261"/>
      <c r="AA11" s="263"/>
      <c r="AB11" s="263"/>
      <c r="AC11" s="263"/>
      <c r="AD11" s="263"/>
      <c r="AE11" s="264"/>
      <c r="AF11" s="265"/>
      <c r="AG11" s="266"/>
      <c r="AH11" s="266"/>
      <c r="AI11" s="266"/>
      <c r="AJ11" s="266"/>
      <c r="AK11" s="266"/>
      <c r="AL11" s="266"/>
      <c r="AM11" s="266"/>
      <c r="AN11" s="266"/>
      <c r="AO11" s="266"/>
      <c r="AP11" s="266"/>
      <c r="AQ11" s="266"/>
      <c r="AR11" s="266"/>
      <c r="AS11" s="266"/>
      <c r="AT11" s="266"/>
      <c r="AU11" s="266"/>
      <c r="AV11" s="266"/>
      <c r="AW11" s="266"/>
      <c r="AX11" s="266"/>
      <c r="AY11" s="266"/>
    </row>
    <row r="12" spans="1:51" ht="19.5" customHeight="1">
      <c r="A12" s="337" t="s">
        <v>213</v>
      </c>
      <c r="B12" s="339">
        <v>376</v>
      </c>
      <c r="C12" s="341" t="s">
        <v>214</v>
      </c>
      <c r="D12" s="341" t="s">
        <v>81</v>
      </c>
      <c r="E12" s="258"/>
      <c r="F12" s="257" t="s">
        <v>219</v>
      </c>
      <c r="G12" s="255" t="s">
        <v>220</v>
      </c>
      <c r="H12" s="256"/>
      <c r="I12" s="256"/>
      <c r="J12" s="256"/>
      <c r="K12" s="256"/>
      <c r="L12" s="256">
        <v>119.27</v>
      </c>
      <c r="M12" s="256"/>
      <c r="N12" s="255">
        <v>18</v>
      </c>
      <c r="O12" s="255">
        <v>3000</v>
      </c>
      <c r="P12" s="258"/>
      <c r="Q12" s="260"/>
      <c r="R12" s="268"/>
      <c r="S12" s="268"/>
      <c r="T12" s="268"/>
      <c r="U12" s="268"/>
      <c r="V12" s="268"/>
      <c r="W12" s="268"/>
      <c r="X12" s="268"/>
      <c r="Y12" s="268"/>
      <c r="Z12" s="268"/>
      <c r="AA12" s="268"/>
      <c r="AB12" s="268"/>
      <c r="AC12" s="268"/>
      <c r="AD12" s="268"/>
      <c r="AE12" s="269"/>
      <c r="AF12" s="265"/>
      <c r="AG12" s="266"/>
      <c r="AH12" s="266"/>
      <c r="AI12" s="266"/>
      <c r="AJ12" s="266"/>
      <c r="AK12" s="266"/>
      <c r="AL12" s="266"/>
      <c r="AM12" s="266"/>
      <c r="AN12" s="266"/>
      <c r="AO12" s="266"/>
      <c r="AP12" s="266"/>
      <c r="AQ12" s="266"/>
      <c r="AR12" s="266"/>
      <c r="AS12" s="266"/>
      <c r="AT12" s="266"/>
      <c r="AU12" s="266"/>
      <c r="AV12" s="266"/>
      <c r="AW12" s="266"/>
      <c r="AX12" s="266"/>
      <c r="AY12" s="266"/>
    </row>
    <row r="13" spans="1:51" ht="19.5" customHeight="1">
      <c r="A13" s="337" t="s">
        <v>289</v>
      </c>
      <c r="B13" s="339">
        <v>112.5</v>
      </c>
      <c r="C13" s="341" t="s">
        <v>290</v>
      </c>
      <c r="D13" s="341" t="s">
        <v>82</v>
      </c>
      <c r="E13" s="258"/>
      <c r="F13" s="257" t="s">
        <v>222</v>
      </c>
      <c r="G13" s="255" t="s">
        <v>223</v>
      </c>
      <c r="H13" s="256"/>
      <c r="I13" s="256"/>
      <c r="J13" s="256"/>
      <c r="K13" s="256">
        <v>122.5</v>
      </c>
      <c r="L13" s="256">
        <v>125.52</v>
      </c>
      <c r="M13" s="256"/>
      <c r="N13" s="255">
        <v>97</v>
      </c>
      <c r="O13" s="263">
        <v>3000</v>
      </c>
      <c r="P13" s="258"/>
      <c r="Q13" s="260"/>
      <c r="R13" s="263"/>
      <c r="S13" s="263"/>
      <c r="T13" s="261"/>
      <c r="U13" s="263"/>
      <c r="V13" s="263"/>
      <c r="W13" s="263"/>
      <c r="X13" s="261"/>
      <c r="Y13" s="263"/>
      <c r="Z13" s="261"/>
      <c r="AA13" s="263"/>
      <c r="AB13" s="263"/>
      <c r="AC13" s="263"/>
      <c r="AD13" s="263"/>
      <c r="AE13" s="264"/>
      <c r="AF13" s="265"/>
      <c r="AG13" s="266"/>
      <c r="AH13" s="266"/>
      <c r="AI13" s="266"/>
      <c r="AJ13" s="266"/>
      <c r="AK13" s="266"/>
      <c r="AL13" s="266"/>
      <c r="AM13" s="266"/>
      <c r="AN13" s="266"/>
      <c r="AO13" s="266"/>
      <c r="AP13" s="266"/>
      <c r="AQ13" s="266"/>
      <c r="AR13" s="266"/>
      <c r="AS13" s="266"/>
      <c r="AT13" s="266"/>
      <c r="AU13" s="266"/>
      <c r="AV13" s="266"/>
      <c r="AW13" s="266"/>
      <c r="AX13" s="266"/>
      <c r="AY13" s="266"/>
    </row>
    <row r="14" spans="1:51" ht="19.5" customHeight="1">
      <c r="A14" s="255" t="s">
        <v>291</v>
      </c>
      <c r="B14" s="256">
        <v>112.8</v>
      </c>
      <c r="C14" s="257" t="s">
        <v>292</v>
      </c>
      <c r="D14" s="257" t="s">
        <v>82</v>
      </c>
      <c r="E14" s="258"/>
      <c r="F14" s="257" t="s">
        <v>225</v>
      </c>
      <c r="G14" s="255" t="s">
        <v>224</v>
      </c>
      <c r="H14" s="263"/>
      <c r="I14" s="263">
        <v>129.47</v>
      </c>
      <c r="J14" s="263"/>
      <c r="K14" s="263">
        <v>122.22</v>
      </c>
      <c r="L14" s="263">
        <v>127.47</v>
      </c>
      <c r="M14" s="263"/>
      <c r="N14" s="263">
        <v>81</v>
      </c>
      <c r="O14" s="263">
        <v>3000</v>
      </c>
      <c r="P14" s="258"/>
      <c r="Q14" s="267"/>
      <c r="R14" s="268"/>
      <c r="S14" s="268"/>
      <c r="T14" s="268"/>
      <c r="U14" s="268"/>
      <c r="V14" s="268"/>
      <c r="W14" s="268"/>
      <c r="X14" s="268"/>
      <c r="Y14" s="268"/>
      <c r="Z14" s="268"/>
      <c r="AA14" s="268"/>
      <c r="AB14" s="268"/>
      <c r="AC14" s="268"/>
      <c r="AD14" s="268"/>
      <c r="AE14" s="269"/>
      <c r="AF14" s="265"/>
      <c r="AG14" s="266"/>
      <c r="AH14" s="266"/>
      <c r="AI14" s="266"/>
      <c r="AJ14" s="266"/>
      <c r="AK14" s="266"/>
      <c r="AL14" s="266"/>
      <c r="AM14" s="266"/>
      <c r="AN14" s="266"/>
      <c r="AO14" s="266"/>
      <c r="AP14" s="266"/>
      <c r="AQ14" s="266"/>
      <c r="AR14" s="266"/>
      <c r="AS14" s="266"/>
      <c r="AT14" s="266"/>
      <c r="AU14" s="266"/>
      <c r="AV14" s="266"/>
      <c r="AW14" s="266"/>
      <c r="AX14" s="266"/>
      <c r="AY14" s="266"/>
    </row>
    <row r="15" spans="1:51" ht="19.5" customHeight="1">
      <c r="A15" s="255" t="s">
        <v>203</v>
      </c>
      <c r="B15" s="256">
        <v>341</v>
      </c>
      <c r="C15" s="257" t="s">
        <v>204</v>
      </c>
      <c r="D15" s="257" t="s">
        <v>81</v>
      </c>
      <c r="E15" s="258"/>
      <c r="F15" s="257" t="s">
        <v>226</v>
      </c>
      <c r="G15" s="255" t="s">
        <v>227</v>
      </c>
      <c r="H15" s="263"/>
      <c r="I15" s="263"/>
      <c r="J15" s="263"/>
      <c r="K15" s="263"/>
      <c r="L15" s="263">
        <v>123.97</v>
      </c>
      <c r="M15" s="263"/>
      <c r="N15" s="263">
        <v>7</v>
      </c>
      <c r="O15" s="263">
        <v>3000</v>
      </c>
      <c r="P15" s="258"/>
      <c r="Q15" s="270"/>
      <c r="R15" s="270"/>
      <c r="S15" s="270"/>
      <c r="T15" s="270"/>
      <c r="U15" s="270"/>
      <c r="V15" s="270"/>
      <c r="W15" s="270"/>
      <c r="X15" s="270"/>
      <c r="Y15" s="270"/>
      <c r="Z15" s="270"/>
      <c r="AA15" s="270"/>
      <c r="AB15" s="270"/>
      <c r="AC15" s="270"/>
      <c r="AD15" s="270"/>
      <c r="AE15" s="270"/>
      <c r="AF15" s="266"/>
      <c r="AG15" s="266"/>
      <c r="AH15" s="266"/>
      <c r="AI15" s="266"/>
      <c r="AJ15" s="266"/>
      <c r="AK15" s="266"/>
      <c r="AL15" s="266"/>
      <c r="AM15" s="266"/>
      <c r="AN15" s="266"/>
      <c r="AO15" s="266"/>
      <c r="AP15" s="266"/>
      <c r="AQ15" s="266"/>
      <c r="AR15" s="266"/>
      <c r="AS15" s="266"/>
      <c r="AT15" s="266"/>
      <c r="AU15" s="266"/>
      <c r="AV15" s="266"/>
      <c r="AW15" s="266"/>
      <c r="AX15" s="266"/>
      <c r="AY15" s="266"/>
    </row>
    <row r="16" spans="1:51" ht="19.5" customHeight="1">
      <c r="A16" s="255" t="s">
        <v>75</v>
      </c>
      <c r="B16" s="256">
        <v>324</v>
      </c>
      <c r="C16" s="257" t="s">
        <v>188</v>
      </c>
      <c r="D16" s="257" t="s">
        <v>81</v>
      </c>
      <c r="E16" s="258"/>
      <c r="F16" s="257" t="s">
        <v>228</v>
      </c>
      <c r="G16" s="255" t="s">
        <v>229</v>
      </c>
      <c r="H16" s="256"/>
      <c r="I16" s="256">
        <v>129.47</v>
      </c>
      <c r="J16" s="256"/>
      <c r="K16" s="256">
        <v>121</v>
      </c>
      <c r="L16" s="256">
        <v>120.42</v>
      </c>
      <c r="M16" s="256"/>
      <c r="N16" s="255">
        <v>167</v>
      </c>
      <c r="O16" s="255">
        <v>3000</v>
      </c>
      <c r="P16" s="258"/>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row>
    <row r="17" spans="1:51" ht="19.5" customHeight="1">
      <c r="A17" s="337" t="s">
        <v>293</v>
      </c>
      <c r="B17" s="339">
        <v>112.6</v>
      </c>
      <c r="C17" s="341" t="s">
        <v>294</v>
      </c>
      <c r="D17" s="341" t="s">
        <v>82</v>
      </c>
      <c r="E17" s="258"/>
      <c r="F17" s="257" t="s">
        <v>230</v>
      </c>
      <c r="G17" s="255" t="s">
        <v>231</v>
      </c>
      <c r="H17" s="263"/>
      <c r="I17" s="263">
        <v>127.07</v>
      </c>
      <c r="J17" s="263"/>
      <c r="K17" s="263">
        <v>123.5</v>
      </c>
      <c r="L17" s="263">
        <v>125.52</v>
      </c>
      <c r="M17" s="263"/>
      <c r="N17" s="263">
        <v>27</v>
      </c>
      <c r="O17" s="263">
        <v>3000</v>
      </c>
      <c r="P17" s="258"/>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row>
    <row r="18" spans="1:51" ht="19.5" customHeight="1">
      <c r="A18" s="255" t="s">
        <v>295</v>
      </c>
      <c r="B18" s="256">
        <v>115.5</v>
      </c>
      <c r="C18" s="257" t="s">
        <v>296</v>
      </c>
      <c r="D18" s="257" t="s">
        <v>82</v>
      </c>
      <c r="E18" s="258"/>
      <c r="F18" s="257" t="s">
        <v>232</v>
      </c>
      <c r="G18" s="255" t="s">
        <v>233</v>
      </c>
      <c r="H18" s="256"/>
      <c r="I18" s="256">
        <v>127.07</v>
      </c>
      <c r="J18" s="256"/>
      <c r="K18" s="256">
        <v>122.5</v>
      </c>
      <c r="L18" s="256"/>
      <c r="M18" s="256"/>
      <c r="N18" s="255">
        <v>14</v>
      </c>
      <c r="O18" s="255">
        <v>3000</v>
      </c>
      <c r="P18" s="258"/>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row>
    <row r="19" spans="1:51" ht="19.5" customHeight="1">
      <c r="A19" s="337" t="s">
        <v>72</v>
      </c>
      <c r="B19" s="339" t="s">
        <v>77</v>
      </c>
      <c r="C19" s="341" t="s">
        <v>79</v>
      </c>
      <c r="D19" s="341" t="s">
        <v>81</v>
      </c>
      <c r="E19" s="258"/>
      <c r="F19" s="257" t="s">
        <v>234</v>
      </c>
      <c r="G19" s="255" t="s">
        <v>235</v>
      </c>
      <c r="H19" s="256"/>
      <c r="I19" s="256">
        <v>129.47</v>
      </c>
      <c r="J19" s="256">
        <v>119.57</v>
      </c>
      <c r="K19" s="256"/>
      <c r="L19" s="256">
        <v>120.42</v>
      </c>
      <c r="M19" s="256"/>
      <c r="N19" s="255">
        <v>171</v>
      </c>
      <c r="O19" s="255">
        <v>3000</v>
      </c>
      <c r="P19" s="258"/>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row>
    <row r="20" spans="1:51" ht="19.5" customHeight="1">
      <c r="A20" s="337" t="s">
        <v>297</v>
      </c>
      <c r="B20" s="339">
        <v>111.85</v>
      </c>
      <c r="C20" s="341" t="s">
        <v>298</v>
      </c>
      <c r="D20" s="341" t="s">
        <v>82</v>
      </c>
      <c r="E20" s="258"/>
      <c r="F20" s="257" t="s">
        <v>242</v>
      </c>
      <c r="G20" s="255" t="s">
        <v>243</v>
      </c>
      <c r="H20" s="256"/>
      <c r="I20" s="256">
        <v>127.07</v>
      </c>
      <c r="J20" s="256"/>
      <c r="K20" s="256"/>
      <c r="L20" s="256"/>
      <c r="M20" s="256"/>
      <c r="N20" s="255">
        <v>40</v>
      </c>
      <c r="O20" s="255">
        <v>3000</v>
      </c>
      <c r="P20" s="258"/>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row>
    <row r="21" spans="1:51" ht="19.5" customHeight="1">
      <c r="A21" s="337" t="s">
        <v>207</v>
      </c>
      <c r="B21" s="339">
        <v>112</v>
      </c>
      <c r="C21" s="341" t="s">
        <v>208</v>
      </c>
      <c r="D21" s="341" t="s">
        <v>82</v>
      </c>
      <c r="E21" s="258"/>
      <c r="F21" s="257" t="s">
        <v>244</v>
      </c>
      <c r="G21" s="255" t="s">
        <v>245</v>
      </c>
      <c r="H21" s="268"/>
      <c r="I21" s="268">
        <v>127.07</v>
      </c>
      <c r="J21" s="268"/>
      <c r="K21" s="268"/>
      <c r="L21" s="268"/>
      <c r="M21" s="268"/>
      <c r="N21" s="268">
        <v>-3</v>
      </c>
      <c r="O21" s="268">
        <v>3000</v>
      </c>
      <c r="P21" s="258"/>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row>
    <row r="22" spans="1:51" ht="19.5" customHeight="1">
      <c r="A22" s="337" t="s">
        <v>299</v>
      </c>
      <c r="B22" s="339">
        <v>110.4</v>
      </c>
      <c r="C22" s="341" t="s">
        <v>300</v>
      </c>
      <c r="D22" s="341" t="s">
        <v>82</v>
      </c>
      <c r="E22" s="258"/>
      <c r="F22" s="257" t="s">
        <v>247</v>
      </c>
      <c r="G22" s="255" t="s">
        <v>246</v>
      </c>
      <c r="H22" s="256"/>
      <c r="I22" s="256"/>
      <c r="J22" s="256"/>
      <c r="K22" s="256">
        <v>122.07</v>
      </c>
      <c r="L22" s="256">
        <v>127.47</v>
      </c>
      <c r="M22" s="256"/>
      <c r="N22" s="255">
        <v>88</v>
      </c>
      <c r="O22" s="255">
        <v>3000</v>
      </c>
      <c r="P22" s="258"/>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row>
    <row r="23" spans="1:51" ht="19.5" customHeight="1">
      <c r="A23" s="255" t="s">
        <v>301</v>
      </c>
      <c r="B23" s="256">
        <v>117.4</v>
      </c>
      <c r="C23" s="257" t="s">
        <v>302</v>
      </c>
      <c r="D23" s="257" t="s">
        <v>82</v>
      </c>
      <c r="E23" s="258"/>
      <c r="F23" s="257" t="s">
        <v>236</v>
      </c>
      <c r="G23" s="255" t="s">
        <v>237</v>
      </c>
      <c r="H23" s="256">
        <v>122.85</v>
      </c>
      <c r="I23" s="256"/>
      <c r="J23" s="256">
        <v>118.1</v>
      </c>
      <c r="K23" s="256"/>
      <c r="L23" s="256">
        <v>119.8</v>
      </c>
      <c r="M23" s="256"/>
      <c r="N23" s="255">
        <v>17</v>
      </c>
      <c r="O23" s="255">
        <v>5000</v>
      </c>
      <c r="P23" s="258"/>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row>
    <row r="24" spans="1:51" ht="19.5" customHeight="1">
      <c r="A24" s="255" t="s">
        <v>189</v>
      </c>
      <c r="B24" s="256">
        <v>374</v>
      </c>
      <c r="C24" s="257" t="s">
        <v>190</v>
      </c>
      <c r="D24" s="257" t="s">
        <v>81</v>
      </c>
      <c r="E24" s="258"/>
      <c r="F24" s="257" t="s">
        <v>250</v>
      </c>
      <c r="G24" s="255" t="s">
        <v>251</v>
      </c>
      <c r="H24" s="268"/>
      <c r="I24" s="268">
        <v>129.47</v>
      </c>
      <c r="J24" s="268"/>
      <c r="K24" s="268">
        <v>123.5</v>
      </c>
      <c r="L24" s="268">
        <v>120.42</v>
      </c>
      <c r="M24" s="268"/>
      <c r="N24" s="268">
        <v>100</v>
      </c>
      <c r="O24" s="268">
        <v>3000</v>
      </c>
      <c r="P24" s="258"/>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row>
    <row r="25" spans="1:51" ht="19.5" customHeight="1">
      <c r="A25" s="337" t="s">
        <v>303</v>
      </c>
      <c r="B25" s="339">
        <v>116.6</v>
      </c>
      <c r="C25" s="341" t="s">
        <v>304</v>
      </c>
      <c r="D25" s="341" t="s">
        <v>82</v>
      </c>
      <c r="E25" s="258"/>
      <c r="F25" s="257" t="s">
        <v>248</v>
      </c>
      <c r="G25" s="255" t="s">
        <v>249</v>
      </c>
      <c r="H25" s="256"/>
      <c r="I25" s="256">
        <v>129.47</v>
      </c>
      <c r="J25" s="256"/>
      <c r="K25" s="256">
        <v>123.5</v>
      </c>
      <c r="L25" s="256"/>
      <c r="M25" s="256"/>
      <c r="N25" s="255">
        <v>25</v>
      </c>
      <c r="O25" s="255">
        <v>3000</v>
      </c>
      <c r="P25" s="258"/>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row>
    <row r="26" spans="1:51" ht="19.5" customHeight="1">
      <c r="A26" s="255"/>
      <c r="B26" s="256"/>
      <c r="C26" s="257"/>
      <c r="D26" s="257"/>
      <c r="E26" s="258"/>
      <c r="F26" s="257" t="s">
        <v>254</v>
      </c>
      <c r="G26" s="255" t="s">
        <v>255</v>
      </c>
      <c r="H26" s="256"/>
      <c r="I26" s="256">
        <v>127.07</v>
      </c>
      <c r="J26" s="256"/>
      <c r="K26" s="256"/>
      <c r="L26" s="256"/>
      <c r="M26" s="256">
        <v>120.32</v>
      </c>
      <c r="N26" s="255">
        <v>16</v>
      </c>
      <c r="O26" s="255">
        <v>3000</v>
      </c>
      <c r="P26" s="258"/>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row>
    <row r="27" spans="1:51" ht="19.5" customHeight="1">
      <c r="A27" s="255"/>
      <c r="B27" s="256"/>
      <c r="C27" s="257"/>
      <c r="D27" s="257"/>
      <c r="E27" s="258"/>
      <c r="F27" s="257" t="s">
        <v>252</v>
      </c>
      <c r="G27" s="255" t="s">
        <v>253</v>
      </c>
      <c r="H27" s="256"/>
      <c r="I27" s="256"/>
      <c r="J27" s="256"/>
      <c r="K27" s="256">
        <v>123.5</v>
      </c>
      <c r="L27" s="256">
        <v>123.97</v>
      </c>
      <c r="M27" s="256"/>
      <c r="N27" s="255">
        <v>60</v>
      </c>
      <c r="O27" s="255">
        <v>3000</v>
      </c>
      <c r="P27" s="258"/>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row>
    <row r="28" spans="1:51" ht="19.5" customHeight="1">
      <c r="A28" s="255"/>
      <c r="B28" s="256"/>
      <c r="C28" s="257"/>
      <c r="D28" s="257"/>
      <c r="E28" s="258"/>
      <c r="F28" s="257" t="s">
        <v>256</v>
      </c>
      <c r="G28" s="255" t="s">
        <v>257</v>
      </c>
      <c r="H28" s="256"/>
      <c r="I28" s="256">
        <v>129.47</v>
      </c>
      <c r="J28" s="256"/>
      <c r="K28" s="256"/>
      <c r="L28" s="256"/>
      <c r="M28" s="256">
        <v>119.52</v>
      </c>
      <c r="N28" s="255">
        <v>56</v>
      </c>
      <c r="O28" s="255">
        <v>3000</v>
      </c>
      <c r="P28" s="258"/>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row>
    <row r="29" spans="1:51" ht="19.5" customHeight="1">
      <c r="A29" s="255"/>
      <c r="B29" s="256"/>
      <c r="C29" s="257"/>
      <c r="D29" s="257"/>
      <c r="E29" s="258"/>
      <c r="F29" s="257" t="s">
        <v>258</v>
      </c>
      <c r="G29" s="255" t="s">
        <v>259</v>
      </c>
      <c r="H29" s="256"/>
      <c r="I29" s="256">
        <v>127.07</v>
      </c>
      <c r="J29" s="256"/>
      <c r="K29" s="256">
        <v>123.5</v>
      </c>
      <c r="L29" s="256">
        <v>125.52</v>
      </c>
      <c r="M29" s="256"/>
      <c r="N29" s="255">
        <v>115</v>
      </c>
      <c r="O29" s="255">
        <v>3000</v>
      </c>
      <c r="P29" s="258"/>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row>
    <row r="30" spans="1:51" ht="19.5" customHeight="1">
      <c r="A30" s="337"/>
      <c r="B30" s="339"/>
      <c r="C30" s="341"/>
      <c r="D30" s="341"/>
      <c r="E30" s="258"/>
      <c r="F30" s="257" t="s">
        <v>238</v>
      </c>
      <c r="G30" s="255" t="s">
        <v>239</v>
      </c>
      <c r="H30" s="263">
        <v>123.8</v>
      </c>
      <c r="I30" s="263"/>
      <c r="J30" s="263">
        <v>118.9</v>
      </c>
      <c r="K30" s="263"/>
      <c r="L30" s="263">
        <v>125.52</v>
      </c>
      <c r="M30" s="263"/>
      <c r="N30" s="263">
        <v>146</v>
      </c>
      <c r="O30" s="263">
        <v>5000</v>
      </c>
      <c r="P30" s="258"/>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row>
    <row r="31" spans="1:51" ht="19.5" customHeight="1">
      <c r="A31" s="255"/>
      <c r="B31" s="256"/>
      <c r="C31" s="257"/>
      <c r="D31" s="257"/>
      <c r="E31" s="258"/>
      <c r="F31" s="257" t="s">
        <v>260</v>
      </c>
      <c r="G31" s="255" t="s">
        <v>261</v>
      </c>
      <c r="H31" s="256"/>
      <c r="I31" s="256">
        <v>129.47</v>
      </c>
      <c r="J31" s="256"/>
      <c r="K31" s="256">
        <v>123.5</v>
      </c>
      <c r="L31" s="256"/>
      <c r="M31" s="256"/>
      <c r="N31" s="255">
        <v>0</v>
      </c>
      <c r="O31" s="255">
        <v>3000</v>
      </c>
      <c r="P31" s="258"/>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row>
    <row r="32" spans="1:51" ht="19.5" customHeight="1">
      <c r="A32" s="337"/>
      <c r="B32" s="339"/>
      <c r="C32" s="341"/>
      <c r="D32" s="341"/>
      <c r="E32" s="258"/>
      <c r="F32" s="257" t="s">
        <v>263</v>
      </c>
      <c r="G32" s="255" t="s">
        <v>264</v>
      </c>
      <c r="H32" s="256"/>
      <c r="I32" s="256"/>
      <c r="J32" s="256"/>
      <c r="K32" s="256"/>
      <c r="L32" s="256">
        <v>123.97</v>
      </c>
      <c r="M32" s="256">
        <v>118.75</v>
      </c>
      <c r="N32" s="255">
        <v>92</v>
      </c>
      <c r="O32" s="255">
        <v>3000</v>
      </c>
      <c r="P32" s="258"/>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row>
    <row r="33" spans="1:51" ht="19.5" customHeight="1">
      <c r="A33" s="337"/>
      <c r="B33" s="339"/>
      <c r="C33" s="341"/>
      <c r="D33" s="341"/>
      <c r="E33" s="258"/>
      <c r="F33" s="257" t="s">
        <v>265</v>
      </c>
      <c r="G33" s="255" t="s">
        <v>164</v>
      </c>
      <c r="H33" s="256"/>
      <c r="I33" s="256"/>
      <c r="J33" s="256"/>
      <c r="K33" s="256">
        <v>120</v>
      </c>
      <c r="L33" s="256">
        <v>120.42</v>
      </c>
      <c r="M33" s="256"/>
      <c r="N33" s="255">
        <v>70</v>
      </c>
      <c r="O33" s="255">
        <v>3000</v>
      </c>
      <c r="P33" s="258"/>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row>
    <row r="34" spans="1:51" ht="19.5" customHeight="1">
      <c r="A34" s="337"/>
      <c r="B34" s="339"/>
      <c r="C34" s="341"/>
      <c r="D34" s="341"/>
      <c r="E34" s="258"/>
      <c r="F34" s="257" t="s">
        <v>268</v>
      </c>
      <c r="G34" s="255" t="s">
        <v>269</v>
      </c>
      <c r="H34" s="256"/>
      <c r="I34" s="256"/>
      <c r="J34" s="256"/>
      <c r="K34" s="256"/>
      <c r="L34" s="256">
        <v>120.42</v>
      </c>
      <c r="M34" s="256"/>
      <c r="N34" s="255">
        <v>251</v>
      </c>
      <c r="O34" s="255">
        <v>3000</v>
      </c>
      <c r="P34" s="258"/>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row>
    <row r="35" spans="1:51" ht="19.5" customHeight="1">
      <c r="A35" s="337"/>
      <c r="B35" s="339"/>
      <c r="C35" s="341"/>
      <c r="D35" s="341"/>
      <c r="E35" s="258"/>
      <c r="F35" s="257" t="s">
        <v>266</v>
      </c>
      <c r="G35" s="255" t="s">
        <v>267</v>
      </c>
      <c r="H35" s="256"/>
      <c r="I35" s="256"/>
      <c r="J35" s="256"/>
      <c r="K35" s="256"/>
      <c r="L35" s="256">
        <v>127.57</v>
      </c>
      <c r="M35" s="256">
        <v>121.4</v>
      </c>
      <c r="N35" s="255">
        <v>17</v>
      </c>
      <c r="O35" s="255">
        <v>3000</v>
      </c>
      <c r="P35" s="258"/>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row>
    <row r="36" spans="1:51" ht="19.5" customHeight="1">
      <c r="A36" s="337"/>
      <c r="B36" s="339"/>
      <c r="C36" s="341"/>
      <c r="D36" s="341"/>
      <c r="E36" s="258"/>
      <c r="F36" s="257" t="s">
        <v>270</v>
      </c>
      <c r="G36" s="255" t="s">
        <v>271</v>
      </c>
      <c r="H36" s="256"/>
      <c r="I36" s="256"/>
      <c r="J36" s="256"/>
      <c r="K36" s="256">
        <v>122.5</v>
      </c>
      <c r="L36" s="256">
        <v>123.97</v>
      </c>
      <c r="M36" s="256"/>
      <c r="N36" s="255">
        <v>112</v>
      </c>
      <c r="O36" s="255">
        <v>3000</v>
      </c>
      <c r="P36" s="258"/>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row>
    <row r="37" spans="1:51" ht="19.5" customHeight="1">
      <c r="A37" s="337"/>
      <c r="B37" s="339"/>
      <c r="C37" s="341"/>
      <c r="D37" s="341"/>
      <c r="E37" s="258"/>
      <c r="F37" s="257" t="s">
        <v>272</v>
      </c>
      <c r="G37" s="255" t="s">
        <v>273</v>
      </c>
      <c r="H37" s="256"/>
      <c r="I37" s="256">
        <v>129.47</v>
      </c>
      <c r="J37" s="256"/>
      <c r="K37" s="256"/>
      <c r="L37" s="256">
        <v>127.47</v>
      </c>
      <c r="M37" s="256">
        <v>126.4</v>
      </c>
      <c r="N37" s="255">
        <v>24</v>
      </c>
      <c r="O37" s="255">
        <v>3000</v>
      </c>
      <c r="P37" s="258"/>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row>
    <row r="38" spans="1:51" ht="19.5" customHeight="1">
      <c r="A38" s="255"/>
      <c r="B38" s="256"/>
      <c r="C38" s="257"/>
      <c r="D38" s="257"/>
      <c r="E38" s="258"/>
      <c r="F38" s="257" t="s">
        <v>274</v>
      </c>
      <c r="G38" s="255" t="s">
        <v>275</v>
      </c>
      <c r="H38" s="256"/>
      <c r="I38" s="256"/>
      <c r="J38" s="256"/>
      <c r="K38" s="256"/>
      <c r="L38" s="256">
        <v>123.97</v>
      </c>
      <c r="M38" s="256">
        <v>118.12</v>
      </c>
      <c r="N38" s="255">
        <v>23</v>
      </c>
      <c r="O38" s="255">
        <v>3000</v>
      </c>
      <c r="P38" s="258"/>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row>
    <row r="39" spans="1:51" ht="19.5" customHeight="1">
      <c r="A39" s="337"/>
      <c r="B39" s="339"/>
      <c r="C39" s="341"/>
      <c r="D39" s="341"/>
      <c r="E39" s="258"/>
      <c r="F39" s="257" t="s">
        <v>276</v>
      </c>
      <c r="G39" s="255" t="s">
        <v>277</v>
      </c>
      <c r="H39" s="256"/>
      <c r="I39" s="256">
        <v>129.47</v>
      </c>
      <c r="J39" s="256"/>
      <c r="K39" s="256">
        <v>122.5</v>
      </c>
      <c r="L39" s="256"/>
      <c r="M39" s="256"/>
      <c r="N39" s="255">
        <v>5</v>
      </c>
      <c r="O39" s="255">
        <v>3000</v>
      </c>
      <c r="P39" s="258"/>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row>
    <row r="40" spans="1:51" ht="19.5" customHeight="1">
      <c r="A40" s="337"/>
      <c r="B40" s="339"/>
      <c r="C40" s="341"/>
      <c r="D40" s="341"/>
      <c r="E40" s="258"/>
      <c r="F40" s="257" t="s">
        <v>240</v>
      </c>
      <c r="G40" s="255" t="s">
        <v>241</v>
      </c>
      <c r="H40" s="263"/>
      <c r="I40" s="263"/>
      <c r="J40" s="263"/>
      <c r="K40" s="263"/>
      <c r="L40" s="263">
        <v>127.47</v>
      </c>
      <c r="M40" s="263">
        <v>120.5</v>
      </c>
      <c r="N40" s="263">
        <v>143</v>
      </c>
      <c r="O40" s="263">
        <v>3000</v>
      </c>
      <c r="P40" s="258"/>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row>
    <row r="41" spans="1:51" ht="19.5" customHeight="1">
      <c r="A41" s="337"/>
      <c r="B41" s="339"/>
      <c r="C41" s="341"/>
      <c r="D41" s="341"/>
      <c r="E41" s="258"/>
      <c r="F41" s="257" t="s">
        <v>278</v>
      </c>
      <c r="G41" s="255" t="s">
        <v>279</v>
      </c>
      <c r="H41" s="256"/>
      <c r="I41" s="256"/>
      <c r="J41" s="256"/>
      <c r="K41" s="256">
        <v>123.5</v>
      </c>
      <c r="L41" s="256" t="s">
        <v>280</v>
      </c>
      <c r="M41" s="256"/>
      <c r="N41" s="255">
        <v>83</v>
      </c>
      <c r="O41" s="255">
        <v>3000</v>
      </c>
      <c r="P41" s="258"/>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row>
    <row r="42" spans="1:51" ht="19.5" customHeight="1">
      <c r="A42" s="255"/>
      <c r="B42" s="256"/>
      <c r="C42" s="257"/>
      <c r="D42" s="257"/>
      <c r="E42" s="258"/>
      <c r="F42" s="257" t="s">
        <v>281</v>
      </c>
      <c r="G42" s="255" t="s">
        <v>282</v>
      </c>
      <c r="H42" s="256"/>
      <c r="I42" s="256">
        <v>129.47</v>
      </c>
      <c r="J42" s="256">
        <v>128.32</v>
      </c>
      <c r="K42" s="256"/>
      <c r="L42" s="256">
        <v>127.47</v>
      </c>
      <c r="M42" s="256"/>
      <c r="N42" s="255">
        <v>141</v>
      </c>
      <c r="O42" s="255">
        <v>3000</v>
      </c>
      <c r="P42" s="258"/>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row>
    <row r="43" spans="1:51" ht="19.5" customHeight="1">
      <c r="A43" s="337"/>
      <c r="B43" s="339"/>
      <c r="C43" s="341"/>
      <c r="D43" s="341"/>
      <c r="E43" s="258"/>
      <c r="F43" s="257" t="s">
        <v>197</v>
      </c>
      <c r="G43" s="255" t="s">
        <v>198</v>
      </c>
      <c r="H43" s="263"/>
      <c r="I43" s="263">
        <v>129.47</v>
      </c>
      <c r="J43" s="263"/>
      <c r="K43" s="263">
        <v>123.17</v>
      </c>
      <c r="L43" s="263"/>
      <c r="M43" s="263"/>
      <c r="N43" s="263">
        <v>-3</v>
      </c>
      <c r="O43" s="263">
        <v>3000</v>
      </c>
      <c r="P43" s="258"/>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row>
    <row r="44" spans="1:51" ht="19.5" customHeight="1">
      <c r="A44" s="255"/>
      <c r="B44" s="256"/>
      <c r="C44" s="257"/>
      <c r="D44" s="257"/>
      <c r="E44" s="258"/>
      <c r="F44" s="257" t="s">
        <v>181</v>
      </c>
      <c r="G44" s="255" t="s">
        <v>182</v>
      </c>
      <c r="H44" s="256">
        <v>120.47</v>
      </c>
      <c r="I44" s="256"/>
      <c r="J44" s="256">
        <v>118.3</v>
      </c>
      <c r="K44" s="256"/>
      <c r="L44" s="256">
        <v>123.97</v>
      </c>
      <c r="M44" s="256"/>
      <c r="N44" s="255">
        <v>10</v>
      </c>
      <c r="O44" s="255">
        <v>3000</v>
      </c>
      <c r="P44" s="258"/>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row>
    <row r="45" spans="1:51" ht="19.5" customHeight="1">
      <c r="A45" s="255"/>
      <c r="B45" s="339"/>
      <c r="C45" s="341"/>
      <c r="D45" s="341"/>
      <c r="E45" s="258"/>
      <c r="F45" s="257" t="s">
        <v>186</v>
      </c>
      <c r="G45" s="255" t="s">
        <v>187</v>
      </c>
      <c r="H45" s="263"/>
      <c r="I45" s="263"/>
      <c r="J45" s="263">
        <v>118.52</v>
      </c>
      <c r="K45" s="263"/>
      <c r="L45" s="263">
        <v>119.27</v>
      </c>
      <c r="M45" s="263"/>
      <c r="N45" s="263">
        <v>82</v>
      </c>
      <c r="O45" s="263">
        <v>3000</v>
      </c>
      <c r="P45" s="258"/>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row>
    <row r="46" spans="1:51" ht="19.5" customHeight="1">
      <c r="A46" s="337"/>
      <c r="B46" s="339"/>
      <c r="C46" s="341"/>
      <c r="D46" s="341"/>
      <c r="E46" s="258"/>
      <c r="F46" s="257" t="s">
        <v>191</v>
      </c>
      <c r="G46" s="255" t="s">
        <v>192</v>
      </c>
      <c r="H46" s="256"/>
      <c r="I46" s="256"/>
      <c r="J46" s="256"/>
      <c r="K46" s="256">
        <v>123.5</v>
      </c>
      <c r="L46" s="256">
        <v>123.97</v>
      </c>
      <c r="M46" s="256"/>
      <c r="N46" s="255">
        <v>119</v>
      </c>
      <c r="O46" s="255">
        <v>3000</v>
      </c>
      <c r="P46" s="258"/>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row>
    <row r="47" spans="1:51" ht="19.5" customHeight="1">
      <c r="A47" s="255"/>
      <c r="B47" s="256"/>
      <c r="C47" s="257"/>
      <c r="D47" s="257"/>
      <c r="E47" s="258"/>
      <c r="F47" s="257"/>
      <c r="G47" s="255"/>
      <c r="H47" s="256"/>
      <c r="I47" s="256"/>
      <c r="J47" s="256"/>
      <c r="K47" s="256"/>
      <c r="L47" s="256"/>
      <c r="M47" s="256"/>
      <c r="N47" s="255"/>
      <c r="O47" s="255"/>
      <c r="P47" s="258"/>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row>
    <row r="48" spans="1:51" ht="19.5" customHeight="1">
      <c r="A48" s="337"/>
      <c r="B48" s="339"/>
      <c r="C48" s="341"/>
      <c r="D48" s="341"/>
      <c r="E48" s="258"/>
      <c r="F48" s="257"/>
      <c r="G48" s="255"/>
      <c r="H48" s="256"/>
      <c r="I48" s="256"/>
      <c r="J48" s="256"/>
      <c r="K48" s="256"/>
      <c r="L48" s="256"/>
      <c r="M48" s="256"/>
      <c r="N48" s="255"/>
      <c r="O48" s="255"/>
      <c r="P48" s="258"/>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row>
    <row r="49" spans="1:51" ht="19.5" customHeight="1">
      <c r="A49" s="337"/>
      <c r="B49" s="339"/>
      <c r="C49" s="341"/>
      <c r="D49" s="341"/>
      <c r="E49" s="258"/>
      <c r="F49" s="257"/>
      <c r="G49" s="255"/>
      <c r="H49" s="256"/>
      <c r="I49" s="256"/>
      <c r="J49" s="256"/>
      <c r="K49" s="256"/>
      <c r="L49" s="256"/>
      <c r="M49" s="256"/>
      <c r="N49" s="255"/>
      <c r="O49" s="255"/>
      <c r="P49" s="258"/>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row>
    <row r="50" spans="1:51" ht="19.5" customHeight="1">
      <c r="A50" s="337"/>
      <c r="B50" s="339"/>
      <c r="C50" s="341"/>
      <c r="D50" s="341"/>
      <c r="E50" s="258"/>
      <c r="F50" s="257"/>
      <c r="G50" s="255"/>
      <c r="H50" s="256"/>
      <c r="I50" s="256"/>
      <c r="J50" s="256"/>
      <c r="K50" s="256"/>
      <c r="L50" s="256"/>
      <c r="M50" s="256"/>
      <c r="N50" s="255"/>
      <c r="O50" s="255"/>
      <c r="P50" s="258"/>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row>
    <row r="51" spans="1:51" ht="19.5" customHeight="1">
      <c r="A51" s="337"/>
      <c r="B51" s="339"/>
      <c r="C51" s="341"/>
      <c r="D51" s="341"/>
      <c r="E51" s="258"/>
      <c r="F51" s="257"/>
      <c r="G51" s="255"/>
      <c r="H51" s="256"/>
      <c r="I51" s="256"/>
      <c r="J51" s="256"/>
      <c r="K51" s="256"/>
      <c r="L51" s="256"/>
      <c r="M51" s="256"/>
      <c r="N51" s="255"/>
      <c r="O51" s="255"/>
      <c r="P51" s="258"/>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row>
    <row r="52" spans="1:51" ht="19.5" customHeight="1">
      <c r="A52" s="337"/>
      <c r="B52" s="339"/>
      <c r="C52" s="341"/>
      <c r="D52" s="341"/>
      <c r="E52" s="258"/>
      <c r="F52" s="257"/>
      <c r="G52" s="255"/>
      <c r="H52" s="256"/>
      <c r="I52" s="256"/>
      <c r="J52" s="256"/>
      <c r="K52" s="256"/>
      <c r="L52" s="256"/>
      <c r="M52" s="256"/>
      <c r="N52" s="255"/>
      <c r="O52" s="255"/>
      <c r="P52" s="258"/>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row>
    <row r="53" spans="1:51" ht="19.5" customHeight="1">
      <c r="A53" s="337"/>
      <c r="B53" s="339"/>
      <c r="C53" s="341"/>
      <c r="D53" s="341"/>
      <c r="E53" s="258"/>
      <c r="F53" s="257"/>
      <c r="G53" s="255"/>
      <c r="H53" s="256"/>
      <c r="I53" s="256"/>
      <c r="J53" s="256"/>
      <c r="K53" s="256"/>
      <c r="L53" s="256"/>
      <c r="M53" s="256"/>
      <c r="N53" s="255"/>
      <c r="O53" s="255"/>
      <c r="P53" s="258"/>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row>
    <row r="54" spans="1:51" ht="19.5" customHeight="1">
      <c r="A54" s="337"/>
      <c r="B54" s="339"/>
      <c r="C54" s="341"/>
      <c r="D54" s="341"/>
      <c r="E54" s="258"/>
      <c r="F54" s="257"/>
      <c r="G54" s="255"/>
      <c r="H54" s="256"/>
      <c r="I54" s="256"/>
      <c r="J54" s="256"/>
      <c r="K54" s="256"/>
      <c r="L54" s="256"/>
      <c r="M54" s="256"/>
      <c r="N54" s="255"/>
      <c r="O54" s="255"/>
      <c r="P54" s="258"/>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row>
    <row r="55" spans="1:51" ht="19.5" customHeight="1">
      <c r="A55" s="337"/>
      <c r="B55" s="339"/>
      <c r="C55" s="341"/>
      <c r="D55" s="341"/>
      <c r="E55" s="258"/>
      <c r="F55" s="257"/>
      <c r="G55" s="255"/>
      <c r="H55" s="256"/>
      <c r="I55" s="256"/>
      <c r="J55" s="256"/>
      <c r="K55" s="256"/>
      <c r="L55" s="256"/>
      <c r="M55" s="256"/>
      <c r="N55" s="255"/>
      <c r="O55" s="255"/>
      <c r="P55" s="258"/>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row>
    <row r="56" spans="1:51" ht="19.5" customHeight="1">
      <c r="A56" s="337"/>
      <c r="B56" s="339"/>
      <c r="C56" s="341"/>
      <c r="D56" s="341"/>
      <c r="E56" s="258"/>
      <c r="F56" s="257"/>
      <c r="G56" s="255"/>
      <c r="H56" s="263"/>
      <c r="I56" s="263"/>
      <c r="J56" s="263"/>
      <c r="K56" s="263"/>
      <c r="L56" s="263"/>
      <c r="M56" s="263"/>
      <c r="N56" s="263"/>
      <c r="O56" s="263"/>
      <c r="P56" s="258"/>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row>
    <row r="57" spans="1:51" ht="19.5" customHeight="1">
      <c r="A57" s="255"/>
      <c r="B57" s="256"/>
      <c r="C57" s="257"/>
      <c r="D57" s="257"/>
      <c r="E57" s="258"/>
      <c r="F57" s="257"/>
      <c r="G57" s="255"/>
      <c r="H57" s="256"/>
      <c r="I57" s="256"/>
      <c r="J57" s="256"/>
      <c r="K57" s="256"/>
      <c r="L57" s="256"/>
      <c r="M57" s="256"/>
      <c r="N57" s="255"/>
      <c r="O57" s="255"/>
      <c r="P57" s="258"/>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row>
    <row r="58" spans="1:51" ht="19.5" customHeight="1">
      <c r="A58" s="337"/>
      <c r="B58" s="339"/>
      <c r="C58" s="341"/>
      <c r="D58" s="341"/>
      <c r="E58" s="258"/>
      <c r="F58" s="257"/>
      <c r="G58" s="255"/>
      <c r="H58" s="263"/>
      <c r="I58" s="263"/>
      <c r="J58" s="263"/>
      <c r="K58" s="263"/>
      <c r="L58" s="263"/>
      <c r="M58" s="263"/>
      <c r="N58" s="263"/>
      <c r="O58" s="263"/>
      <c r="P58" s="258"/>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row>
    <row r="59" spans="1:51" ht="19.5" customHeight="1">
      <c r="A59" s="337"/>
      <c r="B59" s="339"/>
      <c r="C59" s="341"/>
      <c r="D59" s="341"/>
      <c r="E59" s="258"/>
      <c r="F59" s="257"/>
      <c r="G59" s="255"/>
      <c r="H59" s="256"/>
      <c r="I59" s="256"/>
      <c r="J59" s="256"/>
      <c r="K59" s="256"/>
      <c r="L59" s="256"/>
      <c r="M59" s="256"/>
      <c r="N59" s="255"/>
      <c r="O59" s="255"/>
      <c r="P59" s="258"/>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row>
    <row r="60" spans="1:51" ht="19.5" customHeight="1">
      <c r="A60" s="337"/>
      <c r="B60" s="339"/>
      <c r="C60" s="341"/>
      <c r="D60" s="341"/>
      <c r="E60" s="258"/>
      <c r="F60" s="257"/>
      <c r="G60" s="255"/>
      <c r="H60" s="256"/>
      <c r="I60" s="256"/>
      <c r="J60" s="256"/>
      <c r="K60" s="256"/>
      <c r="L60" s="256"/>
      <c r="M60" s="256"/>
      <c r="N60" s="255"/>
      <c r="O60" s="255"/>
      <c r="P60" s="258"/>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row>
    <row r="61" spans="1:51" ht="19.5" customHeight="1">
      <c r="A61" s="337"/>
      <c r="B61" s="339"/>
      <c r="C61" s="341"/>
      <c r="D61" s="341"/>
      <c r="E61" s="258"/>
      <c r="F61" s="257"/>
      <c r="G61" s="255"/>
      <c r="H61" s="256"/>
      <c r="I61" s="256"/>
      <c r="J61" s="256"/>
      <c r="K61" s="256"/>
      <c r="L61" s="256"/>
      <c r="M61" s="256"/>
      <c r="N61" s="255"/>
      <c r="O61" s="255"/>
      <c r="P61" s="258"/>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row>
    <row r="62" spans="1:51" ht="19.5" customHeight="1">
      <c r="A62" s="337"/>
      <c r="B62" s="339"/>
      <c r="C62" s="341"/>
      <c r="D62" s="341"/>
      <c r="E62" s="258"/>
      <c r="F62" s="257"/>
      <c r="G62" s="255"/>
      <c r="H62" s="256"/>
      <c r="I62" s="256"/>
      <c r="J62" s="256"/>
      <c r="K62" s="256"/>
      <c r="L62" s="256"/>
      <c r="M62" s="256"/>
      <c r="N62" s="255"/>
      <c r="O62" s="255"/>
      <c r="P62" s="258"/>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row>
    <row r="63" spans="1:51" ht="19.5" customHeight="1">
      <c r="A63" s="255"/>
      <c r="B63" s="256"/>
      <c r="C63" s="257"/>
      <c r="D63" s="257"/>
      <c r="E63" s="258"/>
      <c r="F63" s="257"/>
      <c r="G63" s="255"/>
      <c r="H63" s="263"/>
      <c r="I63" s="263"/>
      <c r="J63" s="263"/>
      <c r="K63" s="263"/>
      <c r="L63" s="263"/>
      <c r="M63" s="263"/>
      <c r="N63" s="263"/>
      <c r="O63" s="263"/>
      <c r="P63" s="258"/>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row>
    <row r="64" spans="1:51" ht="19.5" customHeight="1">
      <c r="A64" s="255"/>
      <c r="B64" s="256"/>
      <c r="C64" s="257"/>
      <c r="D64" s="257"/>
      <c r="E64" s="258"/>
      <c r="F64" s="257"/>
      <c r="G64" s="255"/>
      <c r="H64" s="256"/>
      <c r="I64" s="256"/>
      <c r="J64" s="256"/>
      <c r="K64" s="256"/>
      <c r="L64" s="256"/>
      <c r="M64" s="256"/>
      <c r="N64" s="255"/>
      <c r="O64" s="255"/>
      <c r="P64" s="258"/>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row>
    <row r="65" spans="1:51" ht="19.5" customHeight="1">
      <c r="A65" s="337"/>
      <c r="B65" s="339"/>
      <c r="C65" s="341"/>
      <c r="D65" s="341"/>
      <c r="E65" s="258"/>
      <c r="F65" s="257"/>
      <c r="G65" s="255"/>
      <c r="H65" s="256"/>
      <c r="I65" s="256"/>
      <c r="J65" s="256"/>
      <c r="K65" s="256"/>
      <c r="L65" s="256"/>
      <c r="M65" s="256"/>
      <c r="N65" s="255"/>
      <c r="O65" s="255"/>
      <c r="P65" s="258"/>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row>
    <row r="66" spans="1:51" ht="19.5" customHeight="1">
      <c r="A66" s="337"/>
      <c r="B66" s="339"/>
      <c r="C66" s="341"/>
      <c r="D66" s="341"/>
      <c r="E66" s="258"/>
      <c r="F66" s="257"/>
      <c r="G66" s="255"/>
      <c r="H66" s="256"/>
      <c r="I66" s="256"/>
      <c r="J66" s="256"/>
      <c r="K66" s="256"/>
      <c r="L66" s="256"/>
      <c r="M66" s="256"/>
      <c r="N66" s="255"/>
      <c r="O66" s="255"/>
      <c r="P66" s="258"/>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row>
    <row r="67" spans="1:51" ht="19.5" customHeight="1">
      <c r="A67" s="337"/>
      <c r="B67" s="339"/>
      <c r="C67" s="341"/>
      <c r="D67" s="341"/>
      <c r="E67" s="258"/>
      <c r="F67" s="257"/>
      <c r="G67" s="255"/>
      <c r="H67" s="256"/>
      <c r="I67" s="256"/>
      <c r="J67" s="256"/>
      <c r="K67" s="256"/>
      <c r="L67" s="256"/>
      <c r="M67" s="256"/>
      <c r="N67" s="255"/>
      <c r="O67" s="255"/>
      <c r="P67" s="258"/>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row>
    <row r="68" spans="1:51" ht="19.5" customHeight="1">
      <c r="A68" s="337"/>
      <c r="B68" s="339"/>
      <c r="C68" s="341"/>
      <c r="D68" s="341"/>
      <c r="E68" s="258"/>
      <c r="F68" s="257"/>
      <c r="G68" s="255"/>
      <c r="H68" s="256"/>
      <c r="I68" s="256"/>
      <c r="J68" s="256"/>
      <c r="K68" s="256"/>
      <c r="L68" s="256"/>
      <c r="M68" s="256"/>
      <c r="N68" s="255"/>
      <c r="O68" s="255"/>
      <c r="P68" s="258"/>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row>
    <row r="69" spans="1:51" ht="19.5" customHeight="1">
      <c r="A69" s="337"/>
      <c r="B69" s="339"/>
      <c r="C69" s="341"/>
      <c r="D69" s="341"/>
      <c r="E69" s="258"/>
      <c r="F69" s="257"/>
      <c r="G69" s="255"/>
      <c r="H69" s="256"/>
      <c r="I69" s="256"/>
      <c r="J69" s="256"/>
      <c r="K69" s="256"/>
      <c r="L69" s="256"/>
      <c r="M69" s="256"/>
      <c r="N69" s="255"/>
      <c r="O69" s="255"/>
      <c r="P69" s="258"/>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row>
    <row r="70" spans="1:51" ht="19.5" customHeight="1">
      <c r="A70" s="337"/>
      <c r="B70" s="339"/>
      <c r="C70" s="341"/>
      <c r="D70" s="341"/>
      <c r="E70" s="258"/>
      <c r="F70" s="257"/>
      <c r="G70" s="255"/>
      <c r="H70" s="256"/>
      <c r="I70" s="256"/>
      <c r="J70" s="256"/>
      <c r="K70" s="256"/>
      <c r="L70" s="256"/>
      <c r="M70" s="256"/>
      <c r="N70" s="255"/>
      <c r="O70" s="255"/>
      <c r="P70" s="258"/>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row>
    <row r="71" spans="1:51" ht="19.5" customHeight="1">
      <c r="A71" s="337"/>
      <c r="B71" s="339"/>
      <c r="C71" s="341"/>
      <c r="D71" s="341"/>
      <c r="E71" s="258"/>
      <c r="F71" s="257"/>
      <c r="G71" s="255"/>
      <c r="H71" s="263"/>
      <c r="I71" s="263"/>
      <c r="J71" s="263"/>
      <c r="K71" s="263"/>
      <c r="L71" s="263"/>
      <c r="M71" s="263"/>
      <c r="N71" s="263"/>
      <c r="O71" s="263"/>
      <c r="P71" s="258"/>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row>
    <row r="72" spans="1:51" ht="19.5" customHeight="1">
      <c r="A72" s="337"/>
      <c r="B72" s="339"/>
      <c r="C72" s="341"/>
      <c r="D72" s="341"/>
      <c r="E72" s="258"/>
      <c r="F72" s="257"/>
      <c r="G72" s="255"/>
      <c r="H72" s="256"/>
      <c r="I72" s="256"/>
      <c r="J72" s="256"/>
      <c r="K72" s="256"/>
      <c r="L72" s="256"/>
      <c r="M72" s="256"/>
      <c r="N72" s="255"/>
      <c r="O72" s="255"/>
      <c r="P72" s="258"/>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row>
    <row r="73" spans="1:51" ht="19.5" customHeight="1">
      <c r="A73" s="337"/>
      <c r="B73" s="339"/>
      <c r="C73" s="341"/>
      <c r="D73" s="341"/>
      <c r="E73" s="258"/>
      <c r="F73" s="257"/>
      <c r="G73" s="255"/>
      <c r="H73" s="256"/>
      <c r="I73" s="256"/>
      <c r="J73" s="256"/>
      <c r="K73" s="256"/>
      <c r="L73" s="256"/>
      <c r="M73" s="256"/>
      <c r="N73" s="255"/>
      <c r="O73" s="255"/>
      <c r="P73" s="258"/>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row>
    <row r="74" spans="1:51" ht="19.5" customHeight="1">
      <c r="A74" s="337"/>
      <c r="B74" s="339"/>
      <c r="C74" s="341"/>
      <c r="D74" s="341"/>
      <c r="E74" s="258"/>
      <c r="F74" s="257"/>
      <c r="G74" s="255"/>
      <c r="H74" s="256"/>
      <c r="I74" s="256"/>
      <c r="J74" s="256"/>
      <c r="K74" s="256"/>
      <c r="L74" s="256"/>
      <c r="M74" s="256"/>
      <c r="N74" s="255"/>
      <c r="O74" s="255"/>
      <c r="P74" s="258"/>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row>
    <row r="75" spans="1:51" ht="19.5" customHeight="1">
      <c r="A75" s="337"/>
      <c r="B75" s="339"/>
      <c r="C75" s="341"/>
      <c r="D75" s="341"/>
      <c r="E75" s="258"/>
      <c r="F75" s="257"/>
      <c r="G75" s="255"/>
      <c r="H75" s="263"/>
      <c r="I75" s="263"/>
      <c r="J75" s="263"/>
      <c r="K75" s="263"/>
      <c r="L75" s="263"/>
      <c r="M75" s="263"/>
      <c r="N75" s="263"/>
      <c r="O75" s="263"/>
      <c r="P75" s="258"/>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row>
    <row r="76" spans="1:51" ht="19.5" customHeight="1">
      <c r="A76" s="337"/>
      <c r="B76" s="339"/>
      <c r="C76" s="341"/>
      <c r="D76" s="341"/>
      <c r="E76" s="258"/>
      <c r="F76" s="257"/>
      <c r="G76" s="255"/>
      <c r="H76" s="256"/>
      <c r="I76" s="256"/>
      <c r="J76" s="256"/>
      <c r="K76" s="256"/>
      <c r="L76" s="256"/>
      <c r="M76" s="256"/>
      <c r="N76" s="255"/>
      <c r="O76" s="255"/>
      <c r="P76" s="258"/>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c r="AY76" s="266"/>
    </row>
    <row r="77" spans="1:51" ht="19.5" customHeight="1">
      <c r="A77" s="337"/>
      <c r="B77" s="339"/>
      <c r="C77" s="341"/>
      <c r="D77" s="341"/>
      <c r="E77" s="258"/>
      <c r="F77" s="257"/>
      <c r="G77" s="255"/>
      <c r="H77" s="256"/>
      <c r="I77" s="256"/>
      <c r="J77" s="256"/>
      <c r="K77" s="256"/>
      <c r="L77" s="256"/>
      <c r="M77" s="256"/>
      <c r="N77" s="255"/>
      <c r="O77" s="255"/>
      <c r="P77" s="258"/>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row>
    <row r="78" spans="1:51" ht="19.5" customHeight="1">
      <c r="A78" s="337"/>
      <c r="B78" s="339"/>
      <c r="C78" s="341"/>
      <c r="D78" s="341"/>
      <c r="E78" s="258"/>
      <c r="F78" s="257"/>
      <c r="G78" s="255"/>
      <c r="H78" s="256"/>
      <c r="I78" s="256"/>
      <c r="J78" s="256"/>
      <c r="K78" s="256"/>
      <c r="L78" s="256"/>
      <c r="M78" s="256"/>
      <c r="N78" s="255"/>
      <c r="O78" s="255"/>
      <c r="P78" s="258"/>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row>
    <row r="79" spans="1:51" ht="19.5" customHeight="1">
      <c r="A79" s="337"/>
      <c r="B79" s="339"/>
      <c r="C79" s="341"/>
      <c r="D79" s="341"/>
      <c r="E79" s="258"/>
      <c r="F79" s="257"/>
      <c r="G79" s="255"/>
      <c r="H79" s="256"/>
      <c r="I79" s="256"/>
      <c r="J79" s="256"/>
      <c r="K79" s="256"/>
      <c r="L79" s="256"/>
      <c r="M79" s="256"/>
      <c r="N79" s="255"/>
      <c r="O79" s="255"/>
      <c r="P79" s="258"/>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row>
    <row r="80" spans="1:51" ht="19.5" customHeight="1">
      <c r="A80" s="337"/>
      <c r="B80" s="339"/>
      <c r="C80" s="341"/>
      <c r="D80" s="341"/>
      <c r="E80" s="258"/>
      <c r="F80" s="257"/>
      <c r="G80" s="255"/>
      <c r="H80" s="256"/>
      <c r="I80" s="256"/>
      <c r="J80" s="256"/>
      <c r="K80" s="256"/>
      <c r="L80" s="256"/>
      <c r="M80" s="256"/>
      <c r="N80" s="255"/>
      <c r="O80" s="255"/>
      <c r="P80" s="258"/>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6"/>
      <c r="AY80" s="266"/>
    </row>
    <row r="81" spans="1:51" ht="19.5" customHeight="1">
      <c r="A81" s="337"/>
      <c r="B81" s="339"/>
      <c r="C81" s="341"/>
      <c r="D81" s="341"/>
      <c r="E81" s="258"/>
      <c r="F81" s="257"/>
      <c r="G81" s="255"/>
      <c r="H81" s="256"/>
      <c r="I81" s="256"/>
      <c r="J81" s="256"/>
      <c r="K81" s="256"/>
      <c r="L81" s="256"/>
      <c r="M81" s="256"/>
      <c r="N81" s="255"/>
      <c r="O81" s="255"/>
      <c r="P81" s="258"/>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row>
    <row r="82" spans="1:51" ht="19.5" customHeight="1">
      <c r="A82" s="337"/>
      <c r="B82" s="339"/>
      <c r="C82" s="341"/>
      <c r="D82" s="341"/>
      <c r="E82" s="258"/>
      <c r="F82" s="257"/>
      <c r="G82" s="255"/>
      <c r="H82" s="256"/>
      <c r="I82" s="256"/>
      <c r="J82" s="256"/>
      <c r="K82" s="256"/>
      <c r="L82" s="256"/>
      <c r="M82" s="256"/>
      <c r="N82" s="255"/>
      <c r="O82" s="255"/>
      <c r="P82" s="258"/>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row>
    <row r="83" spans="1:51" ht="19.5" customHeight="1">
      <c r="A83" s="337"/>
      <c r="B83" s="339"/>
      <c r="C83" s="341"/>
      <c r="D83" s="341"/>
      <c r="E83" s="258"/>
      <c r="F83" s="257"/>
      <c r="G83" s="255"/>
      <c r="H83" s="256"/>
      <c r="I83" s="256"/>
      <c r="J83" s="256"/>
      <c r="K83" s="256"/>
      <c r="L83" s="256"/>
      <c r="M83" s="256"/>
      <c r="N83" s="255"/>
      <c r="O83" s="255"/>
      <c r="P83" s="258"/>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row>
    <row r="84" spans="1:51" ht="19.5" customHeight="1">
      <c r="A84" s="337"/>
      <c r="B84" s="339"/>
      <c r="C84" s="341"/>
      <c r="D84" s="341"/>
      <c r="E84" s="258"/>
      <c r="F84" s="257"/>
      <c r="G84" s="255"/>
      <c r="H84" s="256"/>
      <c r="I84" s="256"/>
      <c r="J84" s="256"/>
      <c r="K84" s="256"/>
      <c r="L84" s="256"/>
      <c r="M84" s="256"/>
      <c r="N84" s="255"/>
      <c r="O84" s="255"/>
      <c r="P84" s="258"/>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row>
    <row r="85" spans="1:51" ht="19.5" customHeight="1">
      <c r="A85" s="337"/>
      <c r="B85" s="339"/>
      <c r="C85" s="341"/>
      <c r="D85" s="341"/>
      <c r="E85" s="258"/>
      <c r="F85" s="257"/>
      <c r="G85" s="255"/>
      <c r="H85" s="256"/>
      <c r="I85" s="256"/>
      <c r="J85" s="256"/>
      <c r="K85" s="256"/>
      <c r="L85" s="256"/>
      <c r="M85" s="256"/>
      <c r="N85" s="255"/>
      <c r="O85" s="255"/>
      <c r="P85" s="258"/>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row>
    <row r="86" spans="1:51" ht="19.5" customHeight="1">
      <c r="A86" s="337"/>
      <c r="B86" s="339"/>
      <c r="C86" s="341"/>
      <c r="D86" s="341"/>
      <c r="E86" s="258"/>
      <c r="F86" s="257"/>
      <c r="G86" s="255"/>
      <c r="H86" s="256"/>
      <c r="I86" s="256"/>
      <c r="J86" s="256"/>
      <c r="K86" s="256"/>
      <c r="L86" s="256"/>
      <c r="M86" s="256"/>
      <c r="N86" s="255"/>
      <c r="O86" s="255"/>
      <c r="P86" s="258"/>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row>
    <row r="87" spans="1:51" ht="19.5" customHeight="1">
      <c r="A87" s="337"/>
      <c r="B87" s="339"/>
      <c r="C87" s="341"/>
      <c r="D87" s="341"/>
      <c r="E87" s="258"/>
      <c r="F87" s="257"/>
      <c r="G87" s="255"/>
      <c r="H87" s="256"/>
      <c r="I87" s="256"/>
      <c r="J87" s="256"/>
      <c r="K87" s="256"/>
      <c r="L87" s="256"/>
      <c r="M87" s="256"/>
      <c r="N87" s="255"/>
      <c r="O87" s="255"/>
      <c r="P87" s="258"/>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6"/>
    </row>
    <row r="88" spans="1:51" ht="19.5" customHeight="1">
      <c r="A88" s="337"/>
      <c r="B88" s="339"/>
      <c r="C88" s="341"/>
      <c r="D88" s="341"/>
      <c r="E88" s="258"/>
      <c r="F88" s="257"/>
      <c r="G88" s="255"/>
      <c r="H88" s="256"/>
      <c r="I88" s="256"/>
      <c r="J88" s="256"/>
      <c r="K88" s="256"/>
      <c r="L88" s="256"/>
      <c r="M88" s="256"/>
      <c r="N88" s="255"/>
      <c r="O88" s="255"/>
      <c r="P88" s="258"/>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6"/>
    </row>
    <row r="89" spans="1:51" ht="19.5" customHeight="1">
      <c r="A89" s="337"/>
      <c r="B89" s="339"/>
      <c r="C89" s="341"/>
      <c r="D89" s="341"/>
      <c r="E89" s="258"/>
      <c r="F89" s="257"/>
      <c r="G89" s="255"/>
      <c r="H89" s="256"/>
      <c r="I89" s="256"/>
      <c r="J89" s="256"/>
      <c r="K89" s="256"/>
      <c r="L89" s="256"/>
      <c r="M89" s="256"/>
      <c r="N89" s="255"/>
      <c r="O89" s="255"/>
      <c r="P89" s="258"/>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row>
    <row r="90" spans="1:51" ht="19.5" customHeight="1">
      <c r="A90" s="337"/>
      <c r="B90" s="339"/>
      <c r="C90" s="341"/>
      <c r="D90" s="341"/>
      <c r="E90" s="258"/>
      <c r="F90" s="257"/>
      <c r="G90" s="255"/>
      <c r="H90" s="256"/>
      <c r="I90" s="256"/>
      <c r="J90" s="256"/>
      <c r="K90" s="256"/>
      <c r="L90" s="256"/>
      <c r="M90" s="256"/>
      <c r="N90" s="255"/>
      <c r="O90" s="255"/>
      <c r="P90" s="258"/>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row>
    <row r="91" spans="1:51" ht="19.5" customHeight="1">
      <c r="A91" s="337"/>
      <c r="B91" s="339"/>
      <c r="C91" s="341"/>
      <c r="D91" s="341"/>
      <c r="E91" s="258"/>
      <c r="F91" s="257"/>
      <c r="G91" s="255"/>
      <c r="H91" s="256"/>
      <c r="I91" s="256"/>
      <c r="J91" s="256"/>
      <c r="K91" s="256"/>
      <c r="L91" s="256"/>
      <c r="M91" s="256"/>
      <c r="N91" s="255"/>
      <c r="O91" s="255"/>
      <c r="P91" s="258"/>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row>
    <row r="92" spans="1:51" ht="19.5" customHeight="1">
      <c r="A92" s="337"/>
      <c r="B92" s="339"/>
      <c r="C92" s="341"/>
      <c r="D92" s="341"/>
      <c r="E92" s="258"/>
      <c r="F92" s="257"/>
      <c r="G92" s="255"/>
      <c r="H92" s="256"/>
      <c r="I92" s="256"/>
      <c r="J92" s="256"/>
      <c r="K92" s="256"/>
      <c r="L92" s="256"/>
      <c r="M92" s="256"/>
      <c r="N92" s="255"/>
      <c r="O92" s="255"/>
      <c r="P92" s="258"/>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row>
    <row r="93" spans="1:51" ht="19.5" customHeight="1">
      <c r="A93" s="337"/>
      <c r="B93" s="339"/>
      <c r="C93" s="341"/>
      <c r="D93" s="341"/>
      <c r="E93" s="258"/>
      <c r="F93" s="257"/>
      <c r="G93" s="255"/>
      <c r="H93" s="256"/>
      <c r="I93" s="256"/>
      <c r="J93" s="256"/>
      <c r="K93" s="256"/>
      <c r="L93" s="256"/>
      <c r="M93" s="256"/>
      <c r="N93" s="255"/>
      <c r="O93" s="255"/>
      <c r="P93" s="258"/>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row>
    <row r="94" spans="1:51" ht="19.5" customHeight="1">
      <c r="A94" s="337"/>
      <c r="B94" s="339"/>
      <c r="C94" s="341"/>
      <c r="D94" s="341"/>
      <c r="E94" s="258"/>
      <c r="F94" s="257"/>
      <c r="G94" s="255"/>
      <c r="H94" s="256"/>
      <c r="I94" s="256"/>
      <c r="J94" s="256"/>
      <c r="K94" s="256"/>
      <c r="L94" s="256"/>
      <c r="M94" s="256"/>
      <c r="N94" s="255"/>
      <c r="O94" s="255"/>
      <c r="P94" s="258"/>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row>
    <row r="95" spans="1:51" ht="19.5" customHeight="1">
      <c r="A95" s="337"/>
      <c r="B95" s="339"/>
      <c r="C95" s="341"/>
      <c r="D95" s="341"/>
      <c r="E95" s="258"/>
      <c r="F95" s="257"/>
      <c r="G95" s="255"/>
      <c r="H95" s="256"/>
      <c r="I95" s="256"/>
      <c r="J95" s="256"/>
      <c r="K95" s="256"/>
      <c r="L95" s="256"/>
      <c r="M95" s="256"/>
      <c r="N95" s="255"/>
      <c r="O95" s="255"/>
      <c r="P95" s="258"/>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row>
    <row r="96" spans="1:51" ht="19.5" customHeight="1">
      <c r="A96" s="337"/>
      <c r="B96" s="339"/>
      <c r="C96" s="341"/>
      <c r="D96" s="341"/>
      <c r="E96" s="258"/>
      <c r="F96" s="257"/>
      <c r="G96" s="255"/>
      <c r="H96" s="256"/>
      <c r="I96" s="256"/>
      <c r="J96" s="256"/>
      <c r="K96" s="256"/>
      <c r="L96" s="256"/>
      <c r="M96" s="256"/>
      <c r="N96" s="255"/>
      <c r="O96" s="255"/>
      <c r="P96" s="258"/>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row>
    <row r="97" spans="1:51" ht="19.5" customHeight="1">
      <c r="A97" s="337"/>
      <c r="B97" s="339"/>
      <c r="C97" s="341"/>
      <c r="D97" s="341"/>
      <c r="E97" s="258"/>
      <c r="F97" s="257"/>
      <c r="G97" s="255"/>
      <c r="H97" s="256"/>
      <c r="I97" s="256"/>
      <c r="J97" s="256"/>
      <c r="K97" s="256"/>
      <c r="L97" s="256"/>
      <c r="M97" s="256"/>
      <c r="N97" s="255"/>
      <c r="O97" s="255"/>
      <c r="P97" s="258"/>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row>
    <row r="98" spans="1:51" ht="19.5" customHeight="1">
      <c r="A98" s="337"/>
      <c r="B98" s="339"/>
      <c r="C98" s="341"/>
      <c r="D98" s="341"/>
      <c r="E98" s="258"/>
      <c r="F98" s="257"/>
      <c r="G98" s="255"/>
      <c r="H98" s="256"/>
      <c r="I98" s="256"/>
      <c r="J98" s="256"/>
      <c r="K98" s="256"/>
      <c r="L98" s="256"/>
      <c r="M98" s="256"/>
      <c r="N98" s="255"/>
      <c r="O98" s="255"/>
      <c r="P98" s="258"/>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row>
    <row r="99" spans="1:51" ht="19.5" customHeight="1">
      <c r="A99" s="337"/>
      <c r="B99" s="339"/>
      <c r="C99" s="341"/>
      <c r="D99" s="341"/>
      <c r="E99" s="258"/>
      <c r="F99" s="257"/>
      <c r="G99" s="255"/>
      <c r="H99" s="256"/>
      <c r="I99" s="256"/>
      <c r="J99" s="256"/>
      <c r="K99" s="256"/>
      <c r="L99" s="256"/>
      <c r="M99" s="256"/>
      <c r="N99" s="255"/>
      <c r="O99" s="255"/>
      <c r="P99" s="258"/>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row>
    <row r="100" spans="1:51" ht="19.5" customHeight="1">
      <c r="A100" s="337"/>
      <c r="B100" s="339"/>
      <c r="C100" s="341"/>
      <c r="D100" s="341"/>
      <c r="E100" s="258"/>
      <c r="F100" s="257"/>
      <c r="G100" s="255"/>
      <c r="H100" s="256"/>
      <c r="I100" s="256"/>
      <c r="J100" s="256"/>
      <c r="K100" s="256"/>
      <c r="L100" s="256"/>
      <c r="M100" s="256"/>
      <c r="N100" s="255"/>
      <c r="O100" s="255"/>
      <c r="P100" s="258"/>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row>
    <row r="101" spans="1:51" ht="19.5" customHeight="1">
      <c r="A101" s="337"/>
      <c r="B101" s="339"/>
      <c r="C101" s="341"/>
      <c r="D101" s="341"/>
      <c r="E101" s="258"/>
      <c r="F101" s="257"/>
      <c r="G101" s="255"/>
      <c r="H101" s="256"/>
      <c r="I101" s="256"/>
      <c r="J101" s="256"/>
      <c r="K101" s="256"/>
      <c r="L101" s="256"/>
      <c r="M101" s="256"/>
      <c r="N101" s="255"/>
      <c r="O101" s="255"/>
      <c r="P101" s="258"/>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row>
    <row r="102" spans="1:51" ht="19.5" customHeight="1">
      <c r="A102" s="337"/>
      <c r="B102" s="339"/>
      <c r="C102" s="341"/>
      <c r="D102" s="341"/>
      <c r="E102" s="258"/>
      <c r="F102" s="257"/>
      <c r="G102" s="255"/>
      <c r="H102" s="256"/>
      <c r="I102" s="256"/>
      <c r="J102" s="256"/>
      <c r="K102" s="256"/>
      <c r="L102" s="256"/>
      <c r="M102" s="256"/>
      <c r="N102" s="255"/>
      <c r="O102" s="255"/>
      <c r="P102" s="258"/>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row>
    <row r="103" spans="1:51" ht="19.5" customHeight="1">
      <c r="A103" s="337"/>
      <c r="B103" s="339"/>
      <c r="C103" s="341"/>
      <c r="D103" s="341"/>
      <c r="E103" s="258"/>
      <c r="F103" s="257"/>
      <c r="G103" s="255"/>
      <c r="H103" s="256"/>
      <c r="I103" s="256"/>
      <c r="J103" s="256"/>
      <c r="K103" s="256"/>
      <c r="L103" s="256"/>
      <c r="M103" s="256"/>
      <c r="N103" s="255"/>
      <c r="O103" s="255"/>
      <c r="P103" s="258"/>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row>
    <row r="104" spans="1:51" ht="19.5" customHeight="1">
      <c r="A104" s="337"/>
      <c r="B104" s="339"/>
      <c r="C104" s="341"/>
      <c r="D104" s="341"/>
      <c r="E104" s="258"/>
      <c r="F104" s="257"/>
      <c r="G104" s="255"/>
      <c r="H104" s="256"/>
      <c r="I104" s="256"/>
      <c r="J104" s="256"/>
      <c r="K104" s="256"/>
      <c r="L104" s="256"/>
      <c r="M104" s="256"/>
      <c r="N104" s="255"/>
      <c r="O104" s="255"/>
      <c r="P104" s="258"/>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row>
    <row r="105" spans="1:51" ht="19.5" customHeight="1">
      <c r="A105" s="337"/>
      <c r="B105" s="339"/>
      <c r="C105" s="341"/>
      <c r="D105" s="341"/>
      <c r="E105" s="258"/>
      <c r="F105" s="257"/>
      <c r="G105" s="255"/>
      <c r="H105" s="256"/>
      <c r="I105" s="256"/>
      <c r="J105" s="256"/>
      <c r="K105" s="256"/>
      <c r="L105" s="256"/>
      <c r="M105" s="256"/>
      <c r="N105" s="255"/>
      <c r="O105" s="255"/>
      <c r="P105" s="258"/>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row>
    <row r="106" spans="1:51" ht="19.5" customHeight="1">
      <c r="A106" s="337"/>
      <c r="B106" s="339"/>
      <c r="C106" s="341"/>
      <c r="D106" s="341"/>
      <c r="E106" s="258"/>
      <c r="F106" s="257"/>
      <c r="G106" s="255"/>
      <c r="H106" s="256"/>
      <c r="I106" s="256"/>
      <c r="J106" s="256"/>
      <c r="K106" s="256"/>
      <c r="L106" s="256"/>
      <c r="M106" s="256"/>
      <c r="N106" s="255"/>
      <c r="O106" s="255"/>
      <c r="P106" s="258"/>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row>
    <row r="107" spans="1:51" ht="19.5" customHeight="1">
      <c r="A107" s="337"/>
      <c r="B107" s="339"/>
      <c r="C107" s="341"/>
      <c r="D107" s="341"/>
      <c r="E107" s="258"/>
      <c r="F107" s="257"/>
      <c r="G107" s="255"/>
      <c r="H107" s="256"/>
      <c r="I107" s="256"/>
      <c r="J107" s="256"/>
      <c r="K107" s="256"/>
      <c r="L107" s="256"/>
      <c r="M107" s="256"/>
      <c r="N107" s="255"/>
      <c r="O107" s="255"/>
      <c r="P107" s="258"/>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row>
    <row r="108" spans="1:51" ht="19.5" customHeight="1">
      <c r="A108" s="352"/>
      <c r="B108" s="353"/>
      <c r="C108" s="354"/>
      <c r="D108" s="355"/>
      <c r="E108" s="258"/>
      <c r="F108" s="279" t="s">
        <v>262</v>
      </c>
      <c r="G108" s="280">
        <f aca="true" t="shared" si="0" ref="G108:N108">COUNTA(G5:G107)</f>
        <v>42</v>
      </c>
      <c r="H108" s="280">
        <f t="shared" si="0"/>
        <v>4</v>
      </c>
      <c r="I108" s="280">
        <f t="shared" si="0"/>
        <v>19</v>
      </c>
      <c r="J108" s="280">
        <f t="shared" si="0"/>
        <v>9</v>
      </c>
      <c r="K108" s="280">
        <f t="shared" si="0"/>
        <v>18</v>
      </c>
      <c r="L108" s="280">
        <f t="shared" si="0"/>
        <v>31</v>
      </c>
      <c r="M108" s="280">
        <f t="shared" si="0"/>
        <v>8</v>
      </c>
      <c r="N108" s="280">
        <f t="shared" si="0"/>
        <v>42</v>
      </c>
      <c r="O108" s="280" t="s">
        <v>55</v>
      </c>
      <c r="P108" s="258"/>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row>
    <row r="109" spans="1:51" ht="19.5" customHeight="1">
      <c r="A109" s="350"/>
      <c r="B109" s="351"/>
      <c r="C109" s="349"/>
      <c r="D109" s="349"/>
      <c r="E109" s="349"/>
      <c r="F109" s="281"/>
      <c r="G109" s="281"/>
      <c r="H109" s="281"/>
      <c r="I109" s="281"/>
      <c r="J109" s="281"/>
      <c r="K109" s="281"/>
      <c r="L109" s="281"/>
      <c r="M109" s="281"/>
      <c r="N109" s="281"/>
      <c r="O109" s="281"/>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row>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sheetData>
  <printOptions horizontalCentered="1"/>
  <pageMargins left="0.5902777777777778" right="0.3541666666666667" top="0.19652777777777777" bottom="0.19791666666666666" header="0" footer="0"/>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5:AA38"/>
  <sheetViews>
    <sheetView showGridLines="0" showOutlineSymbols="0" zoomScale="60" zoomScaleNormal="60" workbookViewId="0" topLeftCell="A1">
      <selection activeCell="G46" sqref="G46"/>
    </sheetView>
  </sheetViews>
  <sheetFormatPr defaultColWidth="8.88671875" defaultRowHeight="15"/>
  <cols>
    <col min="1" max="8" width="7.6640625" style="283" customWidth="1"/>
    <col min="9" max="9" width="8.6640625" style="283" customWidth="1"/>
    <col min="10" max="10" width="9.6640625" style="283" customWidth="1"/>
    <col min="11" max="14" width="7.6640625" style="283" customWidth="1"/>
    <col min="15" max="15" width="2.6640625" style="283" customWidth="1"/>
    <col min="16" max="23" width="7.6640625" style="283" customWidth="1"/>
    <col min="24" max="24" width="6.6640625" style="283" customWidth="1"/>
    <col min="25" max="25" width="7.6640625" style="283" customWidth="1"/>
    <col min="26" max="16384" width="9.6640625" style="283" customWidth="1"/>
  </cols>
  <sheetData>
    <row r="1" ht="0.75" customHeight="1"/>
    <row r="2" ht="0.75" customHeight="1"/>
    <row r="3" ht="0.75" customHeight="1"/>
    <row r="4" ht="0.75" customHeight="1"/>
    <row r="5" ht="0.75" customHeight="1"/>
    <row r="6" ht="0.75" customHeight="1"/>
    <row r="7" ht="0.75" customHeight="1"/>
    <row r="8" ht="0.75" customHeight="1"/>
    <row r="9" ht="0.75" customHeight="1"/>
    <row r="10" ht="0.75" customHeight="1"/>
    <row r="11" ht="0.75" customHeight="1"/>
    <row r="12" ht="10.5" customHeight="1"/>
    <row r="13" ht="15" customHeight="1"/>
    <row r="15" spans="1:12" ht="18">
      <c r="A15" s="284" t="s">
        <v>99</v>
      </c>
      <c r="B15" s="284"/>
      <c r="C15" s="284"/>
      <c r="D15" s="284"/>
      <c r="E15" s="284"/>
      <c r="F15" s="284"/>
      <c r="G15" s="284"/>
      <c r="H15" s="284"/>
      <c r="I15" s="284"/>
      <c r="J15" s="284"/>
      <c r="K15" s="284"/>
      <c r="L15" s="284"/>
    </row>
    <row r="16" spans="1:27" ht="18">
      <c r="A16" s="285"/>
      <c r="B16" s="286"/>
      <c r="C16" s="286"/>
      <c r="D16" s="286"/>
      <c r="E16" s="286"/>
      <c r="F16" s="287" t="s">
        <v>104</v>
      </c>
      <c r="G16" s="286"/>
      <c r="H16" s="286"/>
      <c r="I16" s="286"/>
      <c r="J16" s="286"/>
      <c r="K16" s="286"/>
      <c r="L16" s="286"/>
      <c r="M16" s="288"/>
      <c r="N16" s="288"/>
      <c r="O16" s="289"/>
      <c r="P16" s="290"/>
      <c r="Q16" s="288"/>
      <c r="R16" s="288"/>
      <c r="S16" s="288"/>
      <c r="T16" s="291" t="s">
        <v>117</v>
      </c>
      <c r="U16" s="288"/>
      <c r="V16" s="288"/>
      <c r="W16" s="288"/>
      <c r="X16" s="288"/>
      <c r="Y16" s="288"/>
      <c r="Z16" s="288"/>
      <c r="AA16" s="289"/>
    </row>
    <row r="17" spans="1:27" ht="18">
      <c r="A17" s="292"/>
      <c r="B17" s="293"/>
      <c r="C17" s="293"/>
      <c r="D17" s="293"/>
      <c r="E17" s="293"/>
      <c r="F17" s="293"/>
      <c r="G17" s="293"/>
      <c r="H17" s="293"/>
      <c r="I17" s="293"/>
      <c r="J17" s="293"/>
      <c r="K17" s="293"/>
      <c r="L17" s="293"/>
      <c r="O17" s="289"/>
      <c r="P17" s="289"/>
      <c r="AA17" s="289"/>
    </row>
    <row r="18" spans="1:27" ht="18">
      <c r="A18" s="292" t="s">
        <v>21</v>
      </c>
      <c r="B18" s="293" t="s">
        <v>100</v>
      </c>
      <c r="C18" s="293" t="s">
        <v>101</v>
      </c>
      <c r="D18" s="293" t="s">
        <v>102</v>
      </c>
      <c r="E18" s="294" t="s">
        <v>103</v>
      </c>
      <c r="F18" s="293" t="s">
        <v>105</v>
      </c>
      <c r="G18" s="293" t="s">
        <v>107</v>
      </c>
      <c r="H18" s="293" t="s">
        <v>20</v>
      </c>
      <c r="I18" s="293" t="s">
        <v>26</v>
      </c>
      <c r="J18" s="293" t="s">
        <v>110</v>
      </c>
      <c r="K18" s="293" t="s">
        <v>24</v>
      </c>
      <c r="L18" s="293" t="s">
        <v>111</v>
      </c>
      <c r="M18" s="284" t="s">
        <v>112</v>
      </c>
      <c r="N18" s="293" t="s">
        <v>114</v>
      </c>
      <c r="O18" s="289"/>
      <c r="P18" s="292" t="s">
        <v>115</v>
      </c>
      <c r="Q18" s="293" t="s">
        <v>103</v>
      </c>
      <c r="R18" s="293" t="s">
        <v>105</v>
      </c>
      <c r="S18" s="293" t="s">
        <v>107</v>
      </c>
      <c r="T18" s="293" t="s">
        <v>20</v>
      </c>
      <c r="U18" s="293" t="s">
        <v>26</v>
      </c>
      <c r="V18" s="293" t="s">
        <v>110</v>
      </c>
      <c r="W18" s="293" t="s">
        <v>24</v>
      </c>
      <c r="X18" s="293" t="s">
        <v>111</v>
      </c>
      <c r="Y18" s="284" t="s">
        <v>112</v>
      </c>
      <c r="Z18" s="293" t="s">
        <v>114</v>
      </c>
      <c r="AA18" s="289"/>
    </row>
    <row r="19" spans="1:27" ht="18">
      <c r="A19" s="292"/>
      <c r="B19" s="293"/>
      <c r="C19" s="293"/>
      <c r="D19" s="293"/>
      <c r="E19" s="294" t="s">
        <v>101</v>
      </c>
      <c r="F19" s="293" t="s">
        <v>106</v>
      </c>
      <c r="G19" s="293" t="s">
        <v>108</v>
      </c>
      <c r="H19" s="293" t="s">
        <v>109</v>
      </c>
      <c r="I19" s="293"/>
      <c r="J19" s="293"/>
      <c r="K19" s="293"/>
      <c r="L19" s="295"/>
      <c r="M19" s="295" t="s">
        <v>113</v>
      </c>
      <c r="N19" s="295"/>
      <c r="O19" s="289"/>
      <c r="P19" s="292" t="s">
        <v>116</v>
      </c>
      <c r="Q19" s="293" t="s">
        <v>115</v>
      </c>
      <c r="R19" s="293" t="s">
        <v>106</v>
      </c>
      <c r="S19" s="293" t="s">
        <v>108</v>
      </c>
      <c r="T19" s="293" t="s">
        <v>109</v>
      </c>
      <c r="U19" s="293"/>
      <c r="V19" s="293"/>
      <c r="W19" s="293"/>
      <c r="X19" s="295"/>
      <c r="Y19" s="295" t="s">
        <v>113</v>
      </c>
      <c r="Z19" s="295"/>
      <c r="AA19" s="289"/>
    </row>
    <row r="20" spans="1:27" ht="18">
      <c r="A20" s="292"/>
      <c r="B20" s="293"/>
      <c r="C20" s="293"/>
      <c r="D20" s="293"/>
      <c r="E20" s="293"/>
      <c r="F20" s="293"/>
      <c r="G20" s="293"/>
      <c r="H20" s="293"/>
      <c r="I20" s="293"/>
      <c r="J20" s="293"/>
      <c r="K20" s="293"/>
      <c r="L20" s="293"/>
      <c r="M20" s="284"/>
      <c r="N20" s="293"/>
      <c r="O20" s="289"/>
      <c r="P20" s="292"/>
      <c r="Q20" s="293"/>
      <c r="R20" s="293"/>
      <c r="S20" s="293"/>
      <c r="T20" s="293"/>
      <c r="U20" s="293"/>
      <c r="V20" s="293"/>
      <c r="W20" s="293"/>
      <c r="X20" s="293"/>
      <c r="Y20" s="284"/>
      <c r="Z20" s="293"/>
      <c r="AA20" s="289"/>
    </row>
    <row r="21" spans="1:27" ht="18">
      <c r="A21" s="292">
        <f>Flyveplan!H21</f>
      </c>
      <c r="B21" s="293">
        <f>Flyveplan!D21</f>
        <v>0</v>
      </c>
      <c r="C21" s="293">
        <f>Flyveplan!E21</f>
        <v>0</v>
      </c>
      <c r="D21" s="293">
        <f>Flyveplan!F21</f>
        <v>0</v>
      </c>
      <c r="E21" s="293">
        <f aca="true" t="shared" si="0" ref="E21:E32">C21-B21</f>
        <v>0</v>
      </c>
      <c r="F21" s="293">
        <f aca="true" t="shared" si="1" ref="F21:F32">D21*SIN(E21*PI()/180)</f>
        <v>0</v>
      </c>
      <c r="G21" s="293">
        <f aca="true" t="shared" si="2" ref="G21:G32">-D21*COS(E21*PI()/180)</f>
        <v>0</v>
      </c>
      <c r="H21" s="293" t="e">
        <f aca="true" t="shared" si="3" ref="H21:H32">SINH(F21/A21)*180/PI()</f>
        <v>#VALUE!</v>
      </c>
      <c r="I21" s="293" t="e">
        <f aca="true" t="shared" si="4" ref="I21:I32">MOD(360+B21+H21,360)</f>
        <v>#VALUE!</v>
      </c>
      <c r="J21" s="293" t="e">
        <f aca="true" t="shared" si="5" ref="J21:J32">ABS(COS(H21*PI()/180)*A21)</f>
        <v>#VALUE!</v>
      </c>
      <c r="K21" s="293" t="e">
        <f aca="true" t="shared" si="6" ref="K21:K32">J21+G21</f>
        <v>#VALUE!</v>
      </c>
      <c r="L21" s="296" t="e">
        <f>(Flyveplan!V21/K21)*60</f>
        <v>#VALUE!</v>
      </c>
      <c r="M21" s="296" t="e">
        <f>(Flyveplan!C21-Flyveplan!V6)/1000*1.5</f>
        <v>#VALUE!</v>
      </c>
      <c r="N21" s="296" t="e">
        <f aca="true" t="shared" si="7" ref="N21:N32">IF(M21&gt;0,L21+M21,L21)</f>
        <v>#VALUE!</v>
      </c>
      <c r="O21" s="289"/>
      <c r="P21" s="292">
        <f aca="true" t="shared" si="8" ref="P21:P32">MOD(B21+180,360)</f>
        <v>180</v>
      </c>
      <c r="Q21" s="293">
        <f aca="true" t="shared" si="9" ref="Q21:Q32">C21-P21</f>
        <v>-180</v>
      </c>
      <c r="R21" s="293">
        <f aca="true" t="shared" si="10" ref="R21:R32">D21*SIN(Q21*PI()/180)</f>
        <v>0</v>
      </c>
      <c r="S21" s="293">
        <f aca="true" t="shared" si="11" ref="S21:S32">-D21*COS(Q21*PI()/180)</f>
        <v>0</v>
      </c>
      <c r="T21" s="293" t="e">
        <f aca="true" t="shared" si="12" ref="T21:T32">SINH(R21/A21)*180/PI()</f>
        <v>#VALUE!</v>
      </c>
      <c r="U21" s="293" t="e">
        <f aca="true" t="shared" si="13" ref="U21:U32">MOD(360+P21+T21,360)</f>
        <v>#VALUE!</v>
      </c>
      <c r="V21" s="293" t="e">
        <f aca="true" t="shared" si="14" ref="V21:V32">ABS(COS(T21*PI()/180)*A21)</f>
        <v>#VALUE!</v>
      </c>
      <c r="W21" s="293" t="e">
        <f aca="true" t="shared" si="15" ref="W21:W32">V21+S21</f>
        <v>#VALUE!</v>
      </c>
      <c r="X21" s="296" t="e">
        <f>(Flyveplan!V21/W21)*60</f>
        <v>#VALUE!</v>
      </c>
      <c r="Y21" s="296" t="e">
        <f>-(Flyveplan!O21-Flyveplan!V6)/1000*1.5</f>
        <v>#VALUE!</v>
      </c>
      <c r="Z21" s="296" t="e">
        <f aca="true" t="shared" si="16" ref="Z21:Z32">IF(Y21&gt;0,X21+Y21,X21)</f>
        <v>#VALUE!</v>
      </c>
      <c r="AA21" s="289"/>
    </row>
    <row r="22" spans="1:27" ht="18">
      <c r="A22" s="292">
        <f>Flyveplan!H22</f>
      </c>
      <c r="B22" s="293">
        <f>Flyveplan!D22</f>
        <v>0</v>
      </c>
      <c r="C22" s="293">
        <f>Flyveplan!E22</f>
        <v>0</v>
      </c>
      <c r="D22" s="293">
        <f>Flyveplan!F22</f>
        <v>0</v>
      </c>
      <c r="E22" s="293">
        <f t="shared" si="0"/>
        <v>0</v>
      </c>
      <c r="F22" s="293">
        <f t="shared" si="1"/>
        <v>0</v>
      </c>
      <c r="G22" s="293">
        <f t="shared" si="2"/>
        <v>0</v>
      </c>
      <c r="H22" s="293" t="e">
        <f t="shared" si="3"/>
        <v>#VALUE!</v>
      </c>
      <c r="I22" s="293" t="e">
        <f t="shared" si="4"/>
        <v>#VALUE!</v>
      </c>
      <c r="J22" s="293" t="e">
        <f t="shared" si="5"/>
        <v>#VALUE!</v>
      </c>
      <c r="K22" s="293" t="e">
        <f t="shared" si="6"/>
        <v>#VALUE!</v>
      </c>
      <c r="L22" s="296" t="e">
        <f>(Flyveplan!V22/K22)*60</f>
        <v>#VALUE!</v>
      </c>
      <c r="M22" s="296">
        <f>(Flyveplan!C22-Flyveplan!C21)/1000*1.5</f>
        <v>0</v>
      </c>
      <c r="N22" s="296" t="e">
        <f t="shared" si="7"/>
        <v>#VALUE!</v>
      </c>
      <c r="O22" s="289"/>
      <c r="P22" s="292">
        <f t="shared" si="8"/>
        <v>180</v>
      </c>
      <c r="Q22" s="293">
        <f t="shared" si="9"/>
        <v>-180</v>
      </c>
      <c r="R22" s="293">
        <f t="shared" si="10"/>
        <v>0</v>
      </c>
      <c r="S22" s="293">
        <f t="shared" si="11"/>
        <v>0</v>
      </c>
      <c r="T22" s="293" t="e">
        <f t="shared" si="12"/>
        <v>#VALUE!</v>
      </c>
      <c r="U22" s="293" t="e">
        <f t="shared" si="13"/>
        <v>#VALUE!</v>
      </c>
      <c r="V22" s="293" t="e">
        <f t="shared" si="14"/>
        <v>#VALUE!</v>
      </c>
      <c r="W22" s="293" t="e">
        <f t="shared" si="15"/>
        <v>#VALUE!</v>
      </c>
      <c r="X22" s="296" t="e">
        <f>(Flyveplan!V22/W22)*60</f>
        <v>#VALUE!</v>
      </c>
      <c r="Y22" s="296">
        <f>-(Flyveplan!C22-Flyveplan!C21)/1000*1.5</f>
        <v>0</v>
      </c>
      <c r="Z22" s="296" t="e">
        <f t="shared" si="16"/>
        <v>#VALUE!</v>
      </c>
      <c r="AA22" s="289"/>
    </row>
    <row r="23" spans="1:27" ht="18">
      <c r="A23" s="292">
        <f>Flyveplan!H23</f>
      </c>
      <c r="B23" s="293">
        <f>Flyveplan!D23</f>
        <v>0</v>
      </c>
      <c r="C23" s="293">
        <f>Flyveplan!E23</f>
        <v>0</v>
      </c>
      <c r="D23" s="293">
        <f>Flyveplan!F23</f>
        <v>0</v>
      </c>
      <c r="E23" s="293">
        <f t="shared" si="0"/>
        <v>0</v>
      </c>
      <c r="F23" s="293">
        <f t="shared" si="1"/>
        <v>0</v>
      </c>
      <c r="G23" s="293">
        <f t="shared" si="2"/>
        <v>0</v>
      </c>
      <c r="H23" s="293" t="e">
        <f t="shared" si="3"/>
        <v>#VALUE!</v>
      </c>
      <c r="I23" s="293" t="e">
        <f t="shared" si="4"/>
        <v>#VALUE!</v>
      </c>
      <c r="J23" s="293" t="e">
        <f t="shared" si="5"/>
        <v>#VALUE!</v>
      </c>
      <c r="K23" s="293" t="e">
        <f t="shared" si="6"/>
        <v>#VALUE!</v>
      </c>
      <c r="L23" s="296" t="e">
        <f>(Flyveplan!V23/K23)*60</f>
        <v>#VALUE!</v>
      </c>
      <c r="M23" s="296">
        <f>(Flyveplan!C23-Flyveplan!C22)/1000*1.5</f>
        <v>0</v>
      </c>
      <c r="N23" s="296" t="e">
        <f t="shared" si="7"/>
        <v>#VALUE!</v>
      </c>
      <c r="O23" s="289"/>
      <c r="P23" s="292">
        <f t="shared" si="8"/>
        <v>180</v>
      </c>
      <c r="Q23" s="293">
        <f t="shared" si="9"/>
        <v>-180</v>
      </c>
      <c r="R23" s="293">
        <f t="shared" si="10"/>
        <v>0</v>
      </c>
      <c r="S23" s="293">
        <f t="shared" si="11"/>
        <v>0</v>
      </c>
      <c r="T23" s="293" t="e">
        <f t="shared" si="12"/>
        <v>#VALUE!</v>
      </c>
      <c r="U23" s="293" t="e">
        <f t="shared" si="13"/>
        <v>#VALUE!</v>
      </c>
      <c r="V23" s="293" t="e">
        <f t="shared" si="14"/>
        <v>#VALUE!</v>
      </c>
      <c r="W23" s="293" t="e">
        <f t="shared" si="15"/>
        <v>#VALUE!</v>
      </c>
      <c r="X23" s="296" t="e">
        <f>(Flyveplan!V23/W23)*60</f>
        <v>#VALUE!</v>
      </c>
      <c r="Y23" s="296">
        <f>-(Flyveplan!C23-Flyveplan!C22)/1000*1.5</f>
        <v>0</v>
      </c>
      <c r="Z23" s="296" t="e">
        <f t="shared" si="16"/>
        <v>#VALUE!</v>
      </c>
      <c r="AA23" s="289"/>
    </row>
    <row r="24" spans="1:27" ht="18">
      <c r="A24" s="292">
        <f>Flyveplan!H24</f>
      </c>
      <c r="B24" s="293">
        <f>Flyveplan!D24</f>
        <v>0</v>
      </c>
      <c r="C24" s="293">
        <f>Flyveplan!E24</f>
        <v>0</v>
      </c>
      <c r="D24" s="293">
        <f>Flyveplan!F24</f>
        <v>0</v>
      </c>
      <c r="E24" s="293">
        <f t="shared" si="0"/>
        <v>0</v>
      </c>
      <c r="F24" s="293">
        <f t="shared" si="1"/>
        <v>0</v>
      </c>
      <c r="G24" s="293">
        <f t="shared" si="2"/>
        <v>0</v>
      </c>
      <c r="H24" s="293" t="e">
        <f t="shared" si="3"/>
        <v>#VALUE!</v>
      </c>
      <c r="I24" s="293" t="e">
        <f t="shared" si="4"/>
        <v>#VALUE!</v>
      </c>
      <c r="J24" s="293" t="e">
        <f t="shared" si="5"/>
        <v>#VALUE!</v>
      </c>
      <c r="K24" s="293" t="e">
        <f t="shared" si="6"/>
        <v>#VALUE!</v>
      </c>
      <c r="L24" s="296" t="e">
        <f>(Flyveplan!V24/K24)*60</f>
        <v>#VALUE!</v>
      </c>
      <c r="M24" s="296">
        <f>(Flyveplan!C24-Flyveplan!C23)/1000*1.5</f>
        <v>0</v>
      </c>
      <c r="N24" s="296" t="e">
        <f t="shared" si="7"/>
        <v>#VALUE!</v>
      </c>
      <c r="O24" s="289"/>
      <c r="P24" s="292">
        <f t="shared" si="8"/>
        <v>180</v>
      </c>
      <c r="Q24" s="293">
        <f t="shared" si="9"/>
        <v>-180</v>
      </c>
      <c r="R24" s="293">
        <f t="shared" si="10"/>
        <v>0</v>
      </c>
      <c r="S24" s="293">
        <f t="shared" si="11"/>
        <v>0</v>
      </c>
      <c r="T24" s="293" t="e">
        <f t="shared" si="12"/>
        <v>#VALUE!</v>
      </c>
      <c r="U24" s="293" t="e">
        <f t="shared" si="13"/>
        <v>#VALUE!</v>
      </c>
      <c r="V24" s="293" t="e">
        <f t="shared" si="14"/>
        <v>#VALUE!</v>
      </c>
      <c r="W24" s="293" t="e">
        <f t="shared" si="15"/>
        <v>#VALUE!</v>
      </c>
      <c r="X24" s="296" t="e">
        <f>(Flyveplan!V24/W24)*60</f>
        <v>#VALUE!</v>
      </c>
      <c r="Y24" s="296">
        <f>-(Flyveplan!C24-Flyveplan!C23)/1000*1.5</f>
        <v>0</v>
      </c>
      <c r="Z24" s="296" t="e">
        <f t="shared" si="16"/>
        <v>#VALUE!</v>
      </c>
      <c r="AA24" s="289"/>
    </row>
    <row r="25" spans="1:27" ht="18">
      <c r="A25" s="292">
        <f>Flyveplan!H25</f>
      </c>
      <c r="B25" s="293">
        <f>Flyveplan!D25</f>
        <v>0</v>
      </c>
      <c r="C25" s="293">
        <f>Flyveplan!E25</f>
        <v>0</v>
      </c>
      <c r="D25" s="293">
        <f>Flyveplan!F25</f>
        <v>0</v>
      </c>
      <c r="E25" s="293">
        <f t="shared" si="0"/>
        <v>0</v>
      </c>
      <c r="F25" s="293">
        <f t="shared" si="1"/>
        <v>0</v>
      </c>
      <c r="G25" s="293">
        <f t="shared" si="2"/>
        <v>0</v>
      </c>
      <c r="H25" s="293" t="e">
        <f t="shared" si="3"/>
        <v>#VALUE!</v>
      </c>
      <c r="I25" s="293" t="e">
        <f t="shared" si="4"/>
        <v>#VALUE!</v>
      </c>
      <c r="J25" s="293" t="e">
        <f t="shared" si="5"/>
        <v>#VALUE!</v>
      </c>
      <c r="K25" s="293" t="e">
        <f t="shared" si="6"/>
        <v>#VALUE!</v>
      </c>
      <c r="L25" s="296" t="e">
        <f>(Flyveplan!V25/K25)*60</f>
        <v>#VALUE!</v>
      </c>
      <c r="M25" s="296">
        <f>(Flyveplan!C25-Flyveplan!C24)/1000*1.5</f>
        <v>0</v>
      </c>
      <c r="N25" s="296" t="e">
        <f t="shared" si="7"/>
        <v>#VALUE!</v>
      </c>
      <c r="O25" s="289"/>
      <c r="P25" s="292">
        <f t="shared" si="8"/>
        <v>180</v>
      </c>
      <c r="Q25" s="293">
        <f t="shared" si="9"/>
        <v>-180</v>
      </c>
      <c r="R25" s="293">
        <f t="shared" si="10"/>
        <v>0</v>
      </c>
      <c r="S25" s="293">
        <f t="shared" si="11"/>
        <v>0</v>
      </c>
      <c r="T25" s="293" t="e">
        <f t="shared" si="12"/>
        <v>#VALUE!</v>
      </c>
      <c r="U25" s="293" t="e">
        <f t="shared" si="13"/>
        <v>#VALUE!</v>
      </c>
      <c r="V25" s="293" t="e">
        <f t="shared" si="14"/>
        <v>#VALUE!</v>
      </c>
      <c r="W25" s="293" t="e">
        <f t="shared" si="15"/>
        <v>#VALUE!</v>
      </c>
      <c r="X25" s="296" t="e">
        <f>(Flyveplan!V25/W25)*60</f>
        <v>#VALUE!</v>
      </c>
      <c r="Y25" s="296">
        <f>-(Flyveplan!C25-Flyveplan!C24)/1000*1.5</f>
        <v>0</v>
      </c>
      <c r="Z25" s="296" t="e">
        <f t="shared" si="16"/>
        <v>#VALUE!</v>
      </c>
      <c r="AA25" s="289"/>
    </row>
    <row r="26" spans="1:27" ht="18">
      <c r="A26" s="292">
        <f>Flyveplan!H26</f>
      </c>
      <c r="B26" s="293">
        <f>Flyveplan!D26</f>
        <v>0</v>
      </c>
      <c r="C26" s="293">
        <f>Flyveplan!E26</f>
        <v>0</v>
      </c>
      <c r="D26" s="293">
        <f>Flyveplan!F26</f>
        <v>0</v>
      </c>
      <c r="E26" s="293">
        <f t="shared" si="0"/>
        <v>0</v>
      </c>
      <c r="F26" s="293">
        <f t="shared" si="1"/>
        <v>0</v>
      </c>
      <c r="G26" s="293">
        <f t="shared" si="2"/>
        <v>0</v>
      </c>
      <c r="H26" s="293" t="e">
        <f t="shared" si="3"/>
        <v>#VALUE!</v>
      </c>
      <c r="I26" s="293" t="e">
        <f t="shared" si="4"/>
        <v>#VALUE!</v>
      </c>
      <c r="J26" s="293" t="e">
        <f t="shared" si="5"/>
        <v>#VALUE!</v>
      </c>
      <c r="K26" s="293" t="e">
        <f t="shared" si="6"/>
        <v>#VALUE!</v>
      </c>
      <c r="L26" s="296" t="e">
        <f>(Flyveplan!V26/K26)*60</f>
        <v>#VALUE!</v>
      </c>
      <c r="M26" s="296">
        <f>(Flyveplan!C26-Flyveplan!C25)/1000*1.5</f>
        <v>0</v>
      </c>
      <c r="N26" s="296" t="e">
        <f t="shared" si="7"/>
        <v>#VALUE!</v>
      </c>
      <c r="O26" s="289"/>
      <c r="P26" s="292">
        <f t="shared" si="8"/>
        <v>180</v>
      </c>
      <c r="Q26" s="293">
        <f t="shared" si="9"/>
        <v>-180</v>
      </c>
      <c r="R26" s="293">
        <f t="shared" si="10"/>
        <v>0</v>
      </c>
      <c r="S26" s="293">
        <f t="shared" si="11"/>
        <v>0</v>
      </c>
      <c r="T26" s="293" t="e">
        <f t="shared" si="12"/>
        <v>#VALUE!</v>
      </c>
      <c r="U26" s="293" t="e">
        <f t="shared" si="13"/>
        <v>#VALUE!</v>
      </c>
      <c r="V26" s="293" t="e">
        <f t="shared" si="14"/>
        <v>#VALUE!</v>
      </c>
      <c r="W26" s="293" t="e">
        <f t="shared" si="15"/>
        <v>#VALUE!</v>
      </c>
      <c r="X26" s="296" t="e">
        <f>(Flyveplan!V26/W26)*60</f>
        <v>#VALUE!</v>
      </c>
      <c r="Y26" s="296">
        <f>-(Flyveplan!C26-Flyveplan!C25)/1000*1.5</f>
        <v>0</v>
      </c>
      <c r="Z26" s="296" t="e">
        <f t="shared" si="16"/>
        <v>#VALUE!</v>
      </c>
      <c r="AA26" s="289"/>
    </row>
    <row r="27" spans="1:27" ht="18">
      <c r="A27" s="292">
        <f>Flyveplan!H27</f>
      </c>
      <c r="B27" s="293">
        <f>Flyveplan!D27</f>
        <v>0</v>
      </c>
      <c r="C27" s="293">
        <f>Flyveplan!E27</f>
        <v>0</v>
      </c>
      <c r="D27" s="293">
        <f>Flyveplan!F27</f>
        <v>0</v>
      </c>
      <c r="E27" s="293">
        <f t="shared" si="0"/>
        <v>0</v>
      </c>
      <c r="F27" s="293">
        <f t="shared" si="1"/>
        <v>0</v>
      </c>
      <c r="G27" s="293">
        <f t="shared" si="2"/>
        <v>0</v>
      </c>
      <c r="H27" s="293" t="e">
        <f t="shared" si="3"/>
        <v>#VALUE!</v>
      </c>
      <c r="I27" s="293" t="e">
        <f t="shared" si="4"/>
        <v>#VALUE!</v>
      </c>
      <c r="J27" s="293" t="e">
        <f t="shared" si="5"/>
        <v>#VALUE!</v>
      </c>
      <c r="K27" s="293" t="e">
        <f t="shared" si="6"/>
        <v>#VALUE!</v>
      </c>
      <c r="L27" s="296" t="e">
        <f>(Flyveplan!V27/K27)*60</f>
        <v>#VALUE!</v>
      </c>
      <c r="M27" s="296">
        <f>(Flyveplan!C27-Flyveplan!C26)/1000*1.5</f>
        <v>0</v>
      </c>
      <c r="N27" s="296" t="e">
        <f t="shared" si="7"/>
        <v>#VALUE!</v>
      </c>
      <c r="O27" s="289"/>
      <c r="P27" s="292">
        <f t="shared" si="8"/>
        <v>180</v>
      </c>
      <c r="Q27" s="293">
        <f t="shared" si="9"/>
        <v>-180</v>
      </c>
      <c r="R27" s="293">
        <f t="shared" si="10"/>
        <v>0</v>
      </c>
      <c r="S27" s="293">
        <f t="shared" si="11"/>
        <v>0</v>
      </c>
      <c r="T27" s="293" t="e">
        <f t="shared" si="12"/>
        <v>#VALUE!</v>
      </c>
      <c r="U27" s="293" t="e">
        <f t="shared" si="13"/>
        <v>#VALUE!</v>
      </c>
      <c r="V27" s="293" t="e">
        <f t="shared" si="14"/>
        <v>#VALUE!</v>
      </c>
      <c r="W27" s="293" t="e">
        <f t="shared" si="15"/>
        <v>#VALUE!</v>
      </c>
      <c r="X27" s="296" t="e">
        <f>(Flyveplan!V27/W27)*60</f>
        <v>#VALUE!</v>
      </c>
      <c r="Y27" s="296">
        <f>-(Flyveplan!C27-Flyveplan!C26)/1000*1.5</f>
        <v>0</v>
      </c>
      <c r="Z27" s="296" t="e">
        <f t="shared" si="16"/>
        <v>#VALUE!</v>
      </c>
      <c r="AA27" s="289"/>
    </row>
    <row r="28" spans="1:27" ht="18">
      <c r="A28" s="292">
        <f>Flyveplan!H28</f>
      </c>
      <c r="B28" s="293">
        <f>Flyveplan!D28</f>
        <v>0</v>
      </c>
      <c r="C28" s="293">
        <f>Flyveplan!E28</f>
        <v>0</v>
      </c>
      <c r="D28" s="293">
        <f>Flyveplan!F28</f>
        <v>0</v>
      </c>
      <c r="E28" s="293">
        <f t="shared" si="0"/>
        <v>0</v>
      </c>
      <c r="F28" s="293">
        <f t="shared" si="1"/>
        <v>0</v>
      </c>
      <c r="G28" s="293">
        <f t="shared" si="2"/>
        <v>0</v>
      </c>
      <c r="H28" s="293" t="e">
        <f t="shared" si="3"/>
        <v>#VALUE!</v>
      </c>
      <c r="I28" s="293" t="e">
        <f t="shared" si="4"/>
        <v>#VALUE!</v>
      </c>
      <c r="J28" s="293" t="e">
        <f t="shared" si="5"/>
        <v>#VALUE!</v>
      </c>
      <c r="K28" s="293" t="e">
        <f t="shared" si="6"/>
        <v>#VALUE!</v>
      </c>
      <c r="L28" s="296" t="e">
        <f>(Flyveplan!V28/K28)*60</f>
        <v>#VALUE!</v>
      </c>
      <c r="M28" s="296">
        <f>(Flyveplan!C28-Flyveplan!C27)/1000*1.5</f>
        <v>0</v>
      </c>
      <c r="N28" s="296" t="e">
        <f t="shared" si="7"/>
        <v>#VALUE!</v>
      </c>
      <c r="O28" s="289"/>
      <c r="P28" s="292">
        <f t="shared" si="8"/>
        <v>180</v>
      </c>
      <c r="Q28" s="293">
        <f t="shared" si="9"/>
        <v>-180</v>
      </c>
      <c r="R28" s="293">
        <f t="shared" si="10"/>
        <v>0</v>
      </c>
      <c r="S28" s="293">
        <f t="shared" si="11"/>
        <v>0</v>
      </c>
      <c r="T28" s="293" t="e">
        <f t="shared" si="12"/>
        <v>#VALUE!</v>
      </c>
      <c r="U28" s="293" t="e">
        <f t="shared" si="13"/>
        <v>#VALUE!</v>
      </c>
      <c r="V28" s="293" t="e">
        <f t="shared" si="14"/>
        <v>#VALUE!</v>
      </c>
      <c r="W28" s="293" t="e">
        <f t="shared" si="15"/>
        <v>#VALUE!</v>
      </c>
      <c r="X28" s="296" t="e">
        <f>(Flyveplan!V28/W28)*60</f>
        <v>#VALUE!</v>
      </c>
      <c r="Y28" s="296">
        <f>-(Flyveplan!C28-Flyveplan!C27)/1000*1.5</f>
        <v>0</v>
      </c>
      <c r="Z28" s="296" t="e">
        <f t="shared" si="16"/>
        <v>#VALUE!</v>
      </c>
      <c r="AA28" s="289"/>
    </row>
    <row r="29" spans="1:27" ht="18">
      <c r="A29" s="292">
        <f>Flyveplan!H29</f>
      </c>
      <c r="B29" s="293">
        <f>Flyveplan!D29</f>
        <v>0</v>
      </c>
      <c r="C29" s="293">
        <f>Flyveplan!E29</f>
        <v>0</v>
      </c>
      <c r="D29" s="293">
        <f>Flyveplan!F29</f>
        <v>0</v>
      </c>
      <c r="E29" s="293">
        <f t="shared" si="0"/>
        <v>0</v>
      </c>
      <c r="F29" s="293">
        <f t="shared" si="1"/>
        <v>0</v>
      </c>
      <c r="G29" s="293">
        <f t="shared" si="2"/>
        <v>0</v>
      </c>
      <c r="H29" s="293" t="e">
        <f t="shared" si="3"/>
        <v>#VALUE!</v>
      </c>
      <c r="I29" s="293" t="e">
        <f t="shared" si="4"/>
        <v>#VALUE!</v>
      </c>
      <c r="J29" s="293" t="e">
        <f t="shared" si="5"/>
        <v>#VALUE!</v>
      </c>
      <c r="K29" s="293" t="e">
        <f t="shared" si="6"/>
        <v>#VALUE!</v>
      </c>
      <c r="L29" s="296" t="e">
        <f>(Flyveplan!V29/K29)*60</f>
        <v>#VALUE!</v>
      </c>
      <c r="M29" s="296">
        <f>(Flyveplan!C29-Flyveplan!C28)/1000*1.5</f>
        <v>0</v>
      </c>
      <c r="N29" s="296" t="e">
        <f t="shared" si="7"/>
        <v>#VALUE!</v>
      </c>
      <c r="O29" s="289"/>
      <c r="P29" s="292">
        <f t="shared" si="8"/>
        <v>180</v>
      </c>
      <c r="Q29" s="293">
        <f t="shared" si="9"/>
        <v>-180</v>
      </c>
      <c r="R29" s="293">
        <f t="shared" si="10"/>
        <v>0</v>
      </c>
      <c r="S29" s="293">
        <f t="shared" si="11"/>
        <v>0</v>
      </c>
      <c r="T29" s="293" t="e">
        <f t="shared" si="12"/>
        <v>#VALUE!</v>
      </c>
      <c r="U29" s="293" t="e">
        <f t="shared" si="13"/>
        <v>#VALUE!</v>
      </c>
      <c r="V29" s="293" t="e">
        <f t="shared" si="14"/>
        <v>#VALUE!</v>
      </c>
      <c r="W29" s="293" t="e">
        <f t="shared" si="15"/>
        <v>#VALUE!</v>
      </c>
      <c r="X29" s="296" t="e">
        <f>(Flyveplan!V29/W29)*60</f>
        <v>#VALUE!</v>
      </c>
      <c r="Y29" s="296">
        <f>-(Flyveplan!C29-Flyveplan!C28)/1000*1.5</f>
        <v>0</v>
      </c>
      <c r="Z29" s="296" t="e">
        <f t="shared" si="16"/>
        <v>#VALUE!</v>
      </c>
      <c r="AA29" s="289"/>
    </row>
    <row r="30" spans="1:27" ht="18">
      <c r="A30" s="292">
        <f>Flyveplan!H30</f>
      </c>
      <c r="B30" s="293">
        <f>Flyveplan!D30</f>
        <v>0</v>
      </c>
      <c r="C30" s="293">
        <f>Flyveplan!E30</f>
        <v>0</v>
      </c>
      <c r="D30" s="293">
        <f>Flyveplan!F30</f>
        <v>0</v>
      </c>
      <c r="E30" s="293">
        <f t="shared" si="0"/>
        <v>0</v>
      </c>
      <c r="F30" s="293">
        <f t="shared" si="1"/>
        <v>0</v>
      </c>
      <c r="G30" s="293">
        <f t="shared" si="2"/>
        <v>0</v>
      </c>
      <c r="H30" s="293" t="e">
        <f t="shared" si="3"/>
        <v>#VALUE!</v>
      </c>
      <c r="I30" s="293" t="e">
        <f t="shared" si="4"/>
        <v>#VALUE!</v>
      </c>
      <c r="J30" s="293" t="e">
        <f t="shared" si="5"/>
        <v>#VALUE!</v>
      </c>
      <c r="K30" s="293" t="e">
        <f t="shared" si="6"/>
        <v>#VALUE!</v>
      </c>
      <c r="L30" s="296" t="e">
        <f>(Flyveplan!V30/K30)*60</f>
        <v>#VALUE!</v>
      </c>
      <c r="M30" s="296">
        <f>(Flyveplan!C30-Flyveplan!C29)/1000*1.5</f>
        <v>0</v>
      </c>
      <c r="N30" s="296" t="e">
        <f t="shared" si="7"/>
        <v>#VALUE!</v>
      </c>
      <c r="O30" s="289"/>
      <c r="P30" s="292">
        <f t="shared" si="8"/>
        <v>180</v>
      </c>
      <c r="Q30" s="293">
        <f t="shared" si="9"/>
        <v>-180</v>
      </c>
      <c r="R30" s="293">
        <f t="shared" si="10"/>
        <v>0</v>
      </c>
      <c r="S30" s="293">
        <f t="shared" si="11"/>
        <v>0</v>
      </c>
      <c r="T30" s="293" t="e">
        <f t="shared" si="12"/>
        <v>#VALUE!</v>
      </c>
      <c r="U30" s="293" t="e">
        <f t="shared" si="13"/>
        <v>#VALUE!</v>
      </c>
      <c r="V30" s="293" t="e">
        <f t="shared" si="14"/>
        <v>#VALUE!</v>
      </c>
      <c r="W30" s="293" t="e">
        <f t="shared" si="15"/>
        <v>#VALUE!</v>
      </c>
      <c r="X30" s="296" t="e">
        <f>(Flyveplan!V30/W30)*60</f>
        <v>#VALUE!</v>
      </c>
      <c r="Y30" s="296">
        <f>-(Flyveplan!C30-Flyveplan!C29)/1000*1.5</f>
        <v>0</v>
      </c>
      <c r="Z30" s="296" t="e">
        <f t="shared" si="16"/>
        <v>#VALUE!</v>
      </c>
      <c r="AA30" s="289"/>
    </row>
    <row r="31" spans="1:27" ht="18">
      <c r="A31" s="292">
        <f>Flyveplan!H31</f>
      </c>
      <c r="B31" s="293">
        <f>Flyveplan!D31</f>
        <v>0</v>
      </c>
      <c r="C31" s="293">
        <f>Flyveplan!E31</f>
        <v>0</v>
      </c>
      <c r="D31" s="293">
        <f>Flyveplan!F31</f>
        <v>0</v>
      </c>
      <c r="E31" s="293">
        <f t="shared" si="0"/>
        <v>0</v>
      </c>
      <c r="F31" s="293">
        <f t="shared" si="1"/>
        <v>0</v>
      </c>
      <c r="G31" s="293">
        <f t="shared" si="2"/>
        <v>0</v>
      </c>
      <c r="H31" s="293" t="e">
        <f t="shared" si="3"/>
        <v>#VALUE!</v>
      </c>
      <c r="I31" s="293" t="e">
        <f t="shared" si="4"/>
        <v>#VALUE!</v>
      </c>
      <c r="J31" s="293" t="e">
        <f t="shared" si="5"/>
        <v>#VALUE!</v>
      </c>
      <c r="K31" s="293" t="e">
        <f t="shared" si="6"/>
        <v>#VALUE!</v>
      </c>
      <c r="L31" s="296" t="e">
        <f>(Flyveplan!V31/K31)*60</f>
        <v>#VALUE!</v>
      </c>
      <c r="M31" s="296">
        <f>(Flyveplan!C31-Flyveplan!C30)/1000*1.5</f>
        <v>0</v>
      </c>
      <c r="N31" s="296" t="e">
        <f t="shared" si="7"/>
        <v>#VALUE!</v>
      </c>
      <c r="O31" s="289"/>
      <c r="P31" s="292">
        <f t="shared" si="8"/>
        <v>180</v>
      </c>
      <c r="Q31" s="293">
        <f t="shared" si="9"/>
        <v>-180</v>
      </c>
      <c r="R31" s="293">
        <f t="shared" si="10"/>
        <v>0</v>
      </c>
      <c r="S31" s="293">
        <f t="shared" si="11"/>
        <v>0</v>
      </c>
      <c r="T31" s="293" t="e">
        <f t="shared" si="12"/>
        <v>#VALUE!</v>
      </c>
      <c r="U31" s="293" t="e">
        <f t="shared" si="13"/>
        <v>#VALUE!</v>
      </c>
      <c r="V31" s="293" t="e">
        <f t="shared" si="14"/>
        <v>#VALUE!</v>
      </c>
      <c r="W31" s="293" t="e">
        <f t="shared" si="15"/>
        <v>#VALUE!</v>
      </c>
      <c r="X31" s="296" t="e">
        <f>(Flyveplan!V31/W31)*60</f>
        <v>#VALUE!</v>
      </c>
      <c r="Y31" s="296">
        <f>-(Flyveplan!C31-Flyveplan!C30)/1000*1.5</f>
        <v>0</v>
      </c>
      <c r="Z31" s="296" t="e">
        <f t="shared" si="16"/>
        <v>#VALUE!</v>
      </c>
      <c r="AA31" s="289"/>
    </row>
    <row r="32" spans="1:27" ht="18" customHeight="1">
      <c r="A32" s="292">
        <f>Flyveplan!H32</f>
      </c>
      <c r="B32" s="293">
        <f>Flyveplan!D32</f>
        <v>0</v>
      </c>
      <c r="C32" s="293">
        <f>Flyveplan!E32</f>
        <v>0</v>
      </c>
      <c r="D32" s="293">
        <f>Flyveplan!F32</f>
        <v>0</v>
      </c>
      <c r="E32" s="293">
        <f t="shared" si="0"/>
        <v>0</v>
      </c>
      <c r="F32" s="293">
        <f t="shared" si="1"/>
        <v>0</v>
      </c>
      <c r="G32" s="293">
        <f t="shared" si="2"/>
        <v>0</v>
      </c>
      <c r="H32" s="293" t="e">
        <f t="shared" si="3"/>
        <v>#VALUE!</v>
      </c>
      <c r="I32" s="293" t="e">
        <f t="shared" si="4"/>
        <v>#VALUE!</v>
      </c>
      <c r="J32" s="293" t="e">
        <f t="shared" si="5"/>
        <v>#VALUE!</v>
      </c>
      <c r="K32" s="293" t="e">
        <f t="shared" si="6"/>
        <v>#VALUE!</v>
      </c>
      <c r="L32" s="296" t="e">
        <f>(Flyveplan!V32/K32)*60</f>
        <v>#VALUE!</v>
      </c>
      <c r="M32" s="296">
        <f>(Flyveplan!C32-Flyveplan!C31)/1000*1.5</f>
        <v>0</v>
      </c>
      <c r="N32" s="296" t="e">
        <f t="shared" si="7"/>
        <v>#VALUE!</v>
      </c>
      <c r="O32" s="289"/>
      <c r="P32" s="292">
        <f t="shared" si="8"/>
        <v>180</v>
      </c>
      <c r="Q32" s="293">
        <f t="shared" si="9"/>
        <v>-180</v>
      </c>
      <c r="R32" s="293">
        <f t="shared" si="10"/>
        <v>0</v>
      </c>
      <c r="S32" s="293">
        <f t="shared" si="11"/>
        <v>0</v>
      </c>
      <c r="T32" s="293" t="e">
        <f t="shared" si="12"/>
        <v>#VALUE!</v>
      </c>
      <c r="U32" s="293" t="e">
        <f t="shared" si="13"/>
        <v>#VALUE!</v>
      </c>
      <c r="V32" s="293" t="e">
        <f t="shared" si="14"/>
        <v>#VALUE!</v>
      </c>
      <c r="W32" s="293" t="e">
        <f t="shared" si="15"/>
        <v>#VALUE!</v>
      </c>
      <c r="X32" s="296" t="e">
        <f>(Flyveplan!V32/W32)*60</f>
        <v>#VALUE!</v>
      </c>
      <c r="Y32" s="296">
        <f>-(Flyveplan!C32-Flyveplan!C31)/1000*1.5</f>
        <v>0</v>
      </c>
      <c r="Z32" s="296" t="e">
        <f t="shared" si="16"/>
        <v>#VALUE!</v>
      </c>
      <c r="AA32" s="289"/>
    </row>
    <row r="33" spans="1:27" ht="18" customHeight="1">
      <c r="A33" s="292"/>
      <c r="B33" s="293"/>
      <c r="C33" s="293"/>
      <c r="D33" s="293"/>
      <c r="E33" s="293"/>
      <c r="F33" s="293"/>
      <c r="G33" s="293"/>
      <c r="H33" s="293"/>
      <c r="I33" s="293"/>
      <c r="J33" s="293"/>
      <c r="K33" s="293"/>
      <c r="L33" s="296"/>
      <c r="M33" s="296"/>
      <c r="N33" s="296"/>
      <c r="O33" s="289"/>
      <c r="P33" s="292"/>
      <c r="Q33" s="293"/>
      <c r="R33" s="293"/>
      <c r="S33" s="293"/>
      <c r="T33" s="293"/>
      <c r="U33" s="293"/>
      <c r="V33" s="293"/>
      <c r="W33" s="293"/>
      <c r="X33" s="296"/>
      <c r="Y33" s="296"/>
      <c r="Z33" s="296"/>
      <c r="AA33" s="289"/>
    </row>
    <row r="34" spans="1:27" ht="18" customHeight="1">
      <c r="A34" s="292"/>
      <c r="B34" s="293"/>
      <c r="C34" s="293"/>
      <c r="D34" s="293"/>
      <c r="E34" s="293"/>
      <c r="F34" s="293"/>
      <c r="G34" s="293"/>
      <c r="H34" s="293"/>
      <c r="I34" s="293"/>
      <c r="J34" s="293"/>
      <c r="K34" s="293"/>
      <c r="L34" s="296"/>
      <c r="M34" s="296"/>
      <c r="N34" s="296"/>
      <c r="O34" s="289"/>
      <c r="P34" s="292"/>
      <c r="Q34" s="293"/>
      <c r="R34" s="293"/>
      <c r="S34" s="293"/>
      <c r="T34" s="293"/>
      <c r="U34" s="293"/>
      <c r="V34" s="293"/>
      <c r="W34" s="293"/>
      <c r="X34" s="296"/>
      <c r="Y34" s="296"/>
      <c r="Z34" s="296"/>
      <c r="AA34" s="289"/>
    </row>
    <row r="35" spans="1:27" ht="18" customHeight="1">
      <c r="A35" s="292"/>
      <c r="B35" s="293"/>
      <c r="C35" s="293"/>
      <c r="D35" s="293"/>
      <c r="E35" s="293"/>
      <c r="F35" s="293"/>
      <c r="G35" s="293"/>
      <c r="H35" s="293"/>
      <c r="I35" s="293"/>
      <c r="J35" s="293"/>
      <c r="K35" s="293"/>
      <c r="L35" s="296"/>
      <c r="M35" s="296"/>
      <c r="N35" s="296"/>
      <c r="O35" s="289"/>
      <c r="P35" s="292"/>
      <c r="Q35" s="293"/>
      <c r="R35" s="293"/>
      <c r="S35" s="293"/>
      <c r="T35" s="293"/>
      <c r="U35" s="293"/>
      <c r="V35" s="293"/>
      <c r="W35" s="293"/>
      <c r="X35" s="296"/>
      <c r="Y35" s="296"/>
      <c r="Z35" s="296"/>
      <c r="AA35" s="289"/>
    </row>
    <row r="36" spans="1:27" ht="18" customHeight="1">
      <c r="A36" s="292"/>
      <c r="B36" s="293"/>
      <c r="C36" s="293"/>
      <c r="D36" s="293"/>
      <c r="E36" s="293"/>
      <c r="F36" s="293"/>
      <c r="G36" s="293"/>
      <c r="H36" s="293"/>
      <c r="I36" s="293"/>
      <c r="J36" s="293"/>
      <c r="K36" s="293"/>
      <c r="L36" s="296"/>
      <c r="M36" s="296"/>
      <c r="N36" s="296"/>
      <c r="O36" s="289"/>
      <c r="P36" s="292"/>
      <c r="Q36" s="293"/>
      <c r="R36" s="293"/>
      <c r="S36" s="293"/>
      <c r="T36" s="293"/>
      <c r="U36" s="293"/>
      <c r="V36" s="293"/>
      <c r="W36" s="293"/>
      <c r="X36" s="296"/>
      <c r="Y36" s="296"/>
      <c r="Z36" s="296"/>
      <c r="AA36" s="289"/>
    </row>
    <row r="37" spans="1:27" ht="18" customHeight="1">
      <c r="A37" s="289"/>
      <c r="M37" s="297"/>
      <c r="N37" s="297"/>
      <c r="O37" s="298"/>
      <c r="P37" s="298"/>
      <c r="Q37" s="297"/>
      <c r="R37" s="297"/>
      <c r="AA37" s="289"/>
    </row>
    <row r="38" spans="1:26" ht="15">
      <c r="A38" s="288"/>
      <c r="B38" s="288"/>
      <c r="C38" s="288"/>
      <c r="D38" s="288"/>
      <c r="E38" s="288"/>
      <c r="F38" s="288"/>
      <c r="G38" s="288"/>
      <c r="H38" s="288"/>
      <c r="I38" s="288"/>
      <c r="J38" s="288"/>
      <c r="K38" s="288"/>
      <c r="L38" s="288"/>
      <c r="M38" s="299"/>
      <c r="N38" s="299"/>
      <c r="O38" s="297"/>
      <c r="P38" s="299"/>
      <c r="Q38" s="299"/>
      <c r="R38" s="299"/>
      <c r="S38" s="288"/>
      <c r="T38" s="288"/>
      <c r="U38" s="288"/>
      <c r="V38" s="288"/>
      <c r="W38" s="288"/>
      <c r="X38" s="288"/>
      <c r="Y38" s="288"/>
      <c r="Z38" s="288"/>
    </row>
  </sheetData>
  <printOptions horizontalCentered="1"/>
  <pageMargins left="0.5902777777777778" right="0.3541666666666667" top="0.19652777777777777" bottom="0.19791666666666666" header="0" footer="0"/>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dimension ref="B1:G72"/>
  <sheetViews>
    <sheetView showGridLines="0" showOutlineSymbols="0" zoomScale="60" zoomScaleNormal="60" workbookViewId="0" topLeftCell="A1">
      <selection activeCell="B2" sqref="B2"/>
    </sheetView>
  </sheetViews>
  <sheetFormatPr defaultColWidth="8.88671875" defaultRowHeight="15"/>
  <cols>
    <col min="1" max="1" width="9.6640625" style="283" customWidth="1"/>
    <col min="2" max="2" width="13.6640625" style="283" customWidth="1"/>
    <col min="3" max="4" width="16.6640625" style="283" customWidth="1"/>
    <col min="5" max="6" width="9.6640625" style="283" customWidth="1"/>
    <col min="7" max="7" width="13.6640625" style="283" customWidth="1"/>
    <col min="8" max="9" width="16.6640625" style="283" customWidth="1"/>
    <col min="10" max="16384" width="9.6640625" style="283" customWidth="1"/>
  </cols>
  <sheetData>
    <row r="1" spans="2:7" ht="22.5" customHeight="1">
      <c r="B1" s="300"/>
      <c r="G1" s="300"/>
    </row>
    <row r="2" spans="2:5" ht="30" customHeight="1">
      <c r="B2" s="301" t="s">
        <v>305</v>
      </c>
      <c r="C2" s="302"/>
      <c r="D2" s="302"/>
      <c r="E2" s="289"/>
    </row>
    <row r="3" spans="2:5" ht="36.75" customHeight="1">
      <c r="B3" s="303" t="s">
        <v>118</v>
      </c>
      <c r="C3" s="303" t="s">
        <v>129</v>
      </c>
      <c r="D3" s="303" t="s">
        <v>131</v>
      </c>
      <c r="E3" s="289"/>
    </row>
    <row r="4" spans="2:4" ht="6.75" customHeight="1">
      <c r="B4" s="304"/>
      <c r="C4" s="305"/>
      <c r="D4" s="305"/>
    </row>
    <row r="5" spans="2:5" ht="25.5" customHeight="1">
      <c r="B5" s="306"/>
      <c r="C5" s="307" t="s">
        <v>130</v>
      </c>
      <c r="D5" s="307" t="s">
        <v>132</v>
      </c>
      <c r="E5" s="289"/>
    </row>
    <row r="6" spans="2:5" ht="25.5" customHeight="1">
      <c r="B6" s="308" t="s">
        <v>37</v>
      </c>
      <c r="C6" s="309"/>
      <c r="D6" s="309"/>
      <c r="E6" s="289"/>
    </row>
    <row r="7" spans="2:5" ht="25.5" customHeight="1">
      <c r="B7" s="308" t="s">
        <v>119</v>
      </c>
      <c r="C7" s="309"/>
      <c r="D7" s="309"/>
      <c r="E7" s="289"/>
    </row>
    <row r="8" spans="2:5" ht="25.5" customHeight="1">
      <c r="B8" s="308" t="s">
        <v>120</v>
      </c>
      <c r="C8" s="310"/>
      <c r="D8" s="311"/>
      <c r="E8" s="289"/>
    </row>
    <row r="9" spans="2:6" ht="25.5" customHeight="1">
      <c r="B9" s="308" t="s">
        <v>41</v>
      </c>
      <c r="C9" s="312"/>
      <c r="D9" s="312"/>
      <c r="E9" s="289"/>
      <c r="F9" s="313"/>
    </row>
    <row r="10" spans="2:6" ht="25.5" customHeight="1">
      <c r="B10" s="314" t="s">
        <v>43</v>
      </c>
      <c r="C10" s="312" t="s">
        <v>51</v>
      </c>
      <c r="D10" s="312" t="s">
        <v>51</v>
      </c>
      <c r="E10" s="289"/>
      <c r="F10" s="313"/>
    </row>
    <row r="11" spans="2:6" ht="25.5" customHeight="1">
      <c r="B11" s="308" t="s">
        <v>121</v>
      </c>
      <c r="C11" s="310"/>
      <c r="D11" s="311"/>
      <c r="E11" s="289"/>
      <c r="F11" s="313"/>
    </row>
    <row r="12" spans="2:6" ht="25.5" customHeight="1">
      <c r="B12" s="308" t="s">
        <v>122</v>
      </c>
      <c r="C12" s="312"/>
      <c r="D12" s="312"/>
      <c r="E12" s="289"/>
      <c r="F12" s="313"/>
    </row>
    <row r="13" spans="2:6" ht="25.5" customHeight="1">
      <c r="B13" s="308" t="s">
        <v>50</v>
      </c>
      <c r="C13" s="312" t="s">
        <v>51</v>
      </c>
      <c r="D13" s="312" t="s">
        <v>51</v>
      </c>
      <c r="E13" s="289"/>
      <c r="F13" s="313"/>
    </row>
    <row r="14" spans="2:6" ht="25.5" customHeight="1">
      <c r="B14" s="308" t="s">
        <v>56</v>
      </c>
      <c r="C14" s="312"/>
      <c r="D14" s="315"/>
      <c r="E14" s="289"/>
      <c r="F14" s="313"/>
    </row>
    <row r="15" spans="2:6" ht="25.5" customHeight="1">
      <c r="B15" s="308" t="s">
        <v>73</v>
      </c>
      <c r="C15" s="312"/>
      <c r="D15" s="315"/>
      <c r="E15" s="289"/>
      <c r="F15" s="313"/>
    </row>
    <row r="16" spans="2:5" ht="25.5" customHeight="1">
      <c r="B16" s="308" t="s">
        <v>123</v>
      </c>
      <c r="C16" s="312"/>
      <c r="D16" s="315"/>
      <c r="E16" s="289"/>
    </row>
    <row r="17" spans="2:5" ht="82.5" customHeight="1">
      <c r="B17" s="308" t="s">
        <v>124</v>
      </c>
      <c r="C17" s="316"/>
      <c r="D17" s="317"/>
      <c r="E17" s="289"/>
    </row>
    <row r="18" spans="2:4" ht="15">
      <c r="B18" s="318"/>
      <c r="C18" s="317"/>
      <c r="D18" s="288"/>
    </row>
    <row r="19" spans="2:4" ht="21.75" customHeight="1">
      <c r="B19" s="319" t="s">
        <v>125</v>
      </c>
      <c r="C19" s="320"/>
      <c r="D19" s="289"/>
    </row>
    <row r="20" spans="2:4" ht="21.75" customHeight="1">
      <c r="B20" s="319" t="s">
        <v>126</v>
      </c>
      <c r="C20" s="320"/>
      <c r="D20" s="289"/>
    </row>
    <row r="21" spans="2:4" ht="21.75" customHeight="1">
      <c r="B21" s="319" t="s">
        <v>127</v>
      </c>
      <c r="C21" s="320"/>
      <c r="D21" s="289"/>
    </row>
    <row r="22" spans="2:4" ht="21.75" customHeight="1">
      <c r="B22" s="319" t="s">
        <v>128</v>
      </c>
      <c r="C22" s="320"/>
      <c r="D22" s="289"/>
    </row>
    <row r="23" spans="2:4" ht="15">
      <c r="B23" s="321"/>
      <c r="C23" s="288"/>
      <c r="D23" s="313"/>
    </row>
    <row r="24" spans="2:7" ht="15">
      <c r="B24" s="300"/>
      <c r="G24" s="300"/>
    </row>
    <row r="25" spans="2:7" ht="15">
      <c r="B25" s="300"/>
      <c r="G25" s="300"/>
    </row>
    <row r="26" spans="2:7" ht="15">
      <c r="B26" s="300"/>
      <c r="G26" s="300"/>
    </row>
    <row r="27" spans="2:7" ht="15">
      <c r="B27" s="300"/>
      <c r="G27" s="300"/>
    </row>
    <row r="28" spans="2:7" ht="15">
      <c r="B28" s="300"/>
      <c r="G28" s="300"/>
    </row>
    <row r="29" spans="2:7" ht="15">
      <c r="B29" s="300"/>
      <c r="G29" s="300"/>
    </row>
    <row r="30" spans="2:7" ht="15">
      <c r="B30" s="300"/>
      <c r="G30" s="300"/>
    </row>
    <row r="31" spans="2:7" ht="15">
      <c r="B31" s="300"/>
      <c r="G31" s="300"/>
    </row>
    <row r="32" spans="2:7" ht="15">
      <c r="B32" s="300"/>
      <c r="G32" s="300"/>
    </row>
    <row r="33" spans="2:7" ht="15">
      <c r="B33" s="300"/>
      <c r="G33" s="300"/>
    </row>
    <row r="34" spans="2:7" ht="15">
      <c r="B34" s="300"/>
      <c r="G34" s="300"/>
    </row>
    <row r="35" spans="2:7" ht="15">
      <c r="B35" s="300"/>
      <c r="G35" s="300"/>
    </row>
    <row r="36" spans="2:7" ht="15">
      <c r="B36" s="300"/>
      <c r="G36" s="300"/>
    </row>
    <row r="37" spans="2:7" ht="15">
      <c r="B37" s="300"/>
      <c r="G37" s="300"/>
    </row>
    <row r="38" spans="2:7" ht="15">
      <c r="B38" s="300"/>
      <c r="G38" s="300"/>
    </row>
    <row r="39" spans="2:7" ht="15">
      <c r="B39" s="300"/>
      <c r="G39" s="300"/>
    </row>
    <row r="40" spans="2:7" ht="15">
      <c r="B40" s="300"/>
      <c r="G40" s="300"/>
    </row>
    <row r="41" spans="2:7" ht="15">
      <c r="B41" s="300"/>
      <c r="G41" s="300"/>
    </row>
    <row r="42" spans="2:7" ht="15">
      <c r="B42" s="300"/>
      <c r="G42" s="300"/>
    </row>
    <row r="43" spans="2:7" ht="15">
      <c r="B43" s="300"/>
      <c r="G43" s="300"/>
    </row>
    <row r="44" spans="2:7" ht="15">
      <c r="B44" s="300"/>
      <c r="G44" s="300"/>
    </row>
    <row r="45" spans="2:7" ht="15">
      <c r="B45" s="300"/>
      <c r="G45" s="300"/>
    </row>
    <row r="46" spans="2:7" ht="15">
      <c r="B46" s="300"/>
      <c r="G46" s="300"/>
    </row>
    <row r="47" spans="2:7" ht="15">
      <c r="B47" s="300"/>
      <c r="G47" s="300"/>
    </row>
    <row r="48" spans="2:7" ht="15">
      <c r="B48" s="300"/>
      <c r="G48" s="300"/>
    </row>
    <row r="49" spans="2:7" ht="15">
      <c r="B49" s="300"/>
      <c r="G49" s="300"/>
    </row>
    <row r="50" spans="2:7" ht="15">
      <c r="B50" s="300"/>
      <c r="G50" s="300"/>
    </row>
    <row r="51" spans="2:7" ht="15">
      <c r="B51" s="300"/>
      <c r="G51" s="300"/>
    </row>
    <row r="52" spans="2:7" ht="15">
      <c r="B52" s="300"/>
      <c r="G52" s="300"/>
    </row>
    <row r="53" spans="2:7" ht="15">
      <c r="B53" s="300"/>
      <c r="G53" s="300"/>
    </row>
    <row r="54" spans="2:7" ht="15">
      <c r="B54" s="300"/>
      <c r="G54" s="300"/>
    </row>
    <row r="55" spans="2:7" ht="15">
      <c r="B55" s="300"/>
      <c r="G55" s="300"/>
    </row>
    <row r="56" spans="2:7" ht="15">
      <c r="B56" s="300"/>
      <c r="G56" s="300"/>
    </row>
    <row r="57" spans="2:7" ht="15">
      <c r="B57" s="300"/>
      <c r="G57" s="300"/>
    </row>
    <row r="58" spans="2:7" ht="15">
      <c r="B58" s="300"/>
      <c r="G58" s="300"/>
    </row>
    <row r="59" spans="2:7" ht="15">
      <c r="B59" s="300"/>
      <c r="G59" s="300"/>
    </row>
    <row r="60" spans="2:7" ht="15">
      <c r="B60" s="300"/>
      <c r="G60" s="300"/>
    </row>
    <row r="61" spans="2:7" ht="15">
      <c r="B61" s="300"/>
      <c r="G61" s="300"/>
    </row>
    <row r="62" spans="2:7" ht="15">
      <c r="B62" s="300"/>
      <c r="G62" s="300"/>
    </row>
    <row r="63" spans="2:7" ht="15">
      <c r="B63" s="300"/>
      <c r="G63" s="300"/>
    </row>
    <row r="64" spans="2:7" ht="15">
      <c r="B64" s="300"/>
      <c r="G64" s="300"/>
    </row>
    <row r="65" spans="2:7" ht="15">
      <c r="B65" s="300"/>
      <c r="G65" s="300"/>
    </row>
    <row r="66" spans="2:7" ht="15">
      <c r="B66" s="300"/>
      <c r="G66" s="300"/>
    </row>
    <row r="67" spans="2:7" ht="15">
      <c r="B67" s="300"/>
      <c r="G67" s="300"/>
    </row>
    <row r="68" spans="2:7" ht="15">
      <c r="B68" s="300"/>
      <c r="G68" s="300"/>
    </row>
    <row r="69" spans="2:7" ht="15">
      <c r="B69" s="300"/>
      <c r="G69" s="300"/>
    </row>
    <row r="70" spans="2:7" ht="15">
      <c r="B70" s="300"/>
      <c r="G70" s="300"/>
    </row>
    <row r="71" spans="2:7" ht="15">
      <c r="B71" s="300"/>
      <c r="G71" s="300"/>
    </row>
    <row r="72" spans="2:7" ht="15">
      <c r="B72" s="300"/>
      <c r="G72" s="300"/>
    </row>
  </sheetData>
  <printOptions horizontalCentered="1"/>
  <pageMargins left="0.5902777777777778" right="0.3541666666666667" top="0.19652777777777777" bottom="0.19791666666666666" header="0" footer="0"/>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